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ef5139ba0b66ab8/1. Gestão update/Extra/"/>
    </mc:Choice>
  </mc:AlternateContent>
  <xr:revisionPtr revIDLastSave="12" documentId="8_{ED407E6B-A86C-4CBB-842C-4551D69A9F4E}" xr6:coauthVersionLast="47" xr6:coauthVersionMax="47" xr10:uidLastSave="{990C854A-73D2-40A3-A15E-DA16B06AA8F5}"/>
  <bookViews>
    <workbookView xWindow="-120" yWindow="-120" windowWidth="29040" windowHeight="16440" xr2:uid="{18A7968C-2F1A-4EB3-8E23-4CC9DFF5EE5B}"/>
  </bookViews>
  <sheets>
    <sheet name="Tabelas 8.4-8.13 e 8.21-8.22" sheetId="2" r:id="rId1"/>
    <sheet name="Tabelas 8.14-8.15" sheetId="4" r:id="rId2"/>
    <sheet name="Tabelas 8.16-8.18" sheetId="5" r:id="rId3"/>
  </sheets>
  <definedNames>
    <definedName name="_edn1" localSheetId="2">'Tabelas 8.16-8.18'!#REF!</definedName>
    <definedName name="_edn2" localSheetId="2">'Tabelas 8.16-8.18'!#REF!</definedName>
    <definedName name="_ednref1" localSheetId="2">'Tabelas 8.16-8.18'!$I$9</definedName>
    <definedName name="_ednref2" localSheetId="2">'Tabelas 8.16-8.18'!$I$17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" i="5" l="1"/>
  <c r="F15" i="5"/>
  <c r="E15" i="5"/>
  <c r="D15" i="5"/>
  <c r="C15" i="5"/>
  <c r="K80" i="2"/>
  <c r="J80" i="2"/>
  <c r="K75" i="2"/>
  <c r="J75" i="2"/>
  <c r="K73" i="2"/>
  <c r="J73" i="2"/>
  <c r="K71" i="2"/>
  <c r="J71" i="2"/>
  <c r="K69" i="2"/>
  <c r="J69" i="2"/>
  <c r="K61" i="2"/>
  <c r="J61" i="2"/>
  <c r="K56" i="2"/>
  <c r="J56" i="2"/>
  <c r="K52" i="2"/>
  <c r="J52" i="2"/>
  <c r="K50" i="2"/>
  <c r="J50" i="2"/>
  <c r="K48" i="2"/>
  <c r="J48" i="2"/>
  <c r="K46" i="2"/>
  <c r="J46" i="2"/>
  <c r="K44" i="2"/>
  <c r="K54" i="2"/>
  <c r="J54" i="2"/>
  <c r="J44" i="2"/>
  <c r="K39" i="2"/>
  <c r="J39" i="2"/>
  <c r="K38" i="2"/>
  <c r="J38" i="2"/>
  <c r="K33" i="2"/>
  <c r="K31" i="2"/>
  <c r="K25" i="2"/>
  <c r="K26" i="2"/>
  <c r="K18" i="2"/>
  <c r="K20" i="2"/>
  <c r="K16" i="2"/>
  <c r="G13" i="5"/>
  <c r="F13" i="5"/>
  <c r="E13" i="5"/>
  <c r="D13" i="5"/>
  <c r="C13" i="5"/>
  <c r="C17" i="5"/>
  <c r="D17" i="5" s="1"/>
  <c r="E17" i="5" s="1"/>
  <c r="G16" i="5"/>
  <c r="F16" i="5"/>
  <c r="E16" i="5"/>
  <c r="D16" i="5"/>
  <c r="C16" i="5"/>
  <c r="G21" i="5"/>
  <c r="G22" i="5" s="1"/>
  <c r="F22" i="5"/>
  <c r="E22" i="5"/>
  <c r="D22" i="5"/>
  <c r="C22" i="5"/>
  <c r="B22" i="5"/>
  <c r="B18" i="5"/>
  <c r="B23" i="5" l="1"/>
  <c r="C18" i="5"/>
  <c r="C23" i="5" s="1"/>
  <c r="F17" i="5"/>
  <c r="G17" i="5" l="1"/>
  <c r="D18" i="5"/>
  <c r="D23" i="5" s="1"/>
  <c r="N9" i="5" l="1"/>
  <c r="E18" i="5"/>
  <c r="E23" i="5" s="1"/>
  <c r="G18" i="5" l="1"/>
  <c r="G23" i="5" s="1"/>
  <c r="F18" i="5"/>
  <c r="F23" i="5" s="1"/>
  <c r="N17" i="5" s="1"/>
  <c r="N5" i="5" l="1"/>
  <c r="N15" i="5"/>
  <c r="N3" i="5"/>
  <c r="L3" i="4"/>
  <c r="K11" i="2"/>
  <c r="K9" i="2"/>
  <c r="K7" i="2"/>
  <c r="J11" i="2"/>
  <c r="J9" i="2"/>
  <c r="J7" i="2"/>
  <c r="K3" i="2"/>
  <c r="J3" i="2"/>
</calcChain>
</file>

<file path=xl/sharedStrings.xml><?xml version="1.0" encoding="utf-8"?>
<sst xmlns="http://schemas.openxmlformats.org/spreadsheetml/2006/main" count="266" uniqueCount="167">
  <si>
    <t>Ativos fixos tangíveis</t>
  </si>
  <si>
    <t>Participações financeiras</t>
  </si>
  <si>
    <t>Ativo Não Corrente</t>
  </si>
  <si>
    <t>Inventários</t>
  </si>
  <si>
    <t>Clientes</t>
  </si>
  <si>
    <t>Caixa e depósitos bancários</t>
  </si>
  <si>
    <t>Ativo Corrente</t>
  </si>
  <si>
    <t>Capital realizado</t>
  </si>
  <si>
    <t>Reservas e resultados transitados</t>
  </si>
  <si>
    <t>Resultado líquido do período</t>
  </si>
  <si>
    <t>Capital Próprio</t>
  </si>
  <si>
    <t>Provisões</t>
  </si>
  <si>
    <t>Financiamentos obtidos</t>
  </si>
  <si>
    <t>Passivo Não Corrente</t>
  </si>
  <si>
    <t>Fornecedores</t>
  </si>
  <si>
    <t>Estado</t>
  </si>
  <si>
    <t>Passivo Corrente</t>
  </si>
  <si>
    <t>Venda de produtos</t>
  </si>
  <si>
    <t>Prestação de serviços</t>
  </si>
  <si>
    <t>Volume de Negócios</t>
  </si>
  <si>
    <t>Fornecimentos e serviços externos</t>
  </si>
  <si>
    <t>Margem Bruta</t>
  </si>
  <si>
    <t>Gastos com o pessoal</t>
  </si>
  <si>
    <t>Outros rendimentos e ganhos operacionais</t>
  </si>
  <si>
    <t>Outros gastos e perdas operacionais</t>
  </si>
  <si>
    <t>Resultado Antes de Juros, Impostos, Amortizações e Reintegrações</t>
  </si>
  <si>
    <t>Depreciações e amortizações</t>
  </si>
  <si>
    <t>Resultado Antes de Juros e Impostos</t>
  </si>
  <si>
    <t>Juros e rendimentos similares obtidos</t>
  </si>
  <si>
    <t>Juros e gastos similares suportados</t>
  </si>
  <si>
    <t>Resultado Antes de Impostos</t>
  </si>
  <si>
    <t>Imposto sobre o resultado do período</t>
  </si>
  <si>
    <t>Fundo de Maneio</t>
  </si>
  <si>
    <t>Liquidez Imediata</t>
  </si>
  <si>
    <t>Liquidez Reduzida</t>
  </si>
  <si>
    <t>Liquidez Geral</t>
  </si>
  <si>
    <t>Rotação dos Inventários</t>
  </si>
  <si>
    <t>Rotação do Ativo Corrente</t>
  </si>
  <si>
    <t>Resultado Líquido</t>
  </si>
  <si>
    <t>Rentabilidade do Capital Próprio</t>
  </si>
  <si>
    <t>Rentabilidade do Ativo</t>
  </si>
  <si>
    <t>Rotação do Ativo</t>
  </si>
  <si>
    <t>Margem Líquida</t>
  </si>
  <si>
    <t>Efeito dos Impostos</t>
  </si>
  <si>
    <t>Efeitos dos Encargos Fin.</t>
  </si>
  <si>
    <t>Alavancagem Financeira</t>
  </si>
  <si>
    <t>Fluxos de Caixa</t>
  </si>
  <si>
    <t>Operacionais</t>
  </si>
  <si>
    <t>Depr., Amortizações e Prov.</t>
  </si>
  <si>
    <t>Encargos Financeiros</t>
  </si>
  <si>
    <t>Fluxos de Caixa Operacionais</t>
  </si>
  <si>
    <t>Inv. em Ativos Não Correntes</t>
  </si>
  <si>
    <t>Inv. em Ativos Correntes</t>
  </si>
  <si>
    <t>Valor Residual</t>
  </si>
  <si>
    <t>Fluxos Caixa de Investimento</t>
  </si>
  <si>
    <t>Fluxos de Caixa Líquidos</t>
  </si>
  <si>
    <t>Vendas</t>
  </si>
  <si>
    <t>Autonomia Financeira</t>
  </si>
  <si>
    <t>Endividamento</t>
  </si>
  <si>
    <t>Rúbricas</t>
  </si>
  <si>
    <t>Ano N-1</t>
  </si>
  <si>
    <t>Ano N</t>
  </si>
  <si>
    <t>ATIVO TOTAL</t>
  </si>
  <si>
    <t>CAPITAL PRÓPRIO</t>
  </si>
  <si>
    <t>PASSIVO TOTAL</t>
  </si>
  <si>
    <t>CAPITAL PRÓPRIO + PASSIVO TOTAL</t>
  </si>
  <si>
    <t>Tabela 8.4   Exemplo de Balanço</t>
  </si>
  <si>
    <t>Tabela 8.5   Exemplo de Demonstração dos Resultados</t>
  </si>
  <si>
    <t>Custo das mercadorias vendidas e das matérias consumidas</t>
  </si>
  <si>
    <t>Resultado Líquido do Período</t>
  </si>
  <si>
    <t>Tabela 8.6   Cálculo do Fundo de Maneio</t>
  </si>
  <si>
    <t>Indicador</t>
  </si>
  <si>
    <t>Fórmula</t>
  </si>
  <si>
    <t>Ativo Corrente – Passivo Corrente</t>
  </si>
  <si>
    <t>Tabela 8.7   Cálculo dos Rácios de Liquidez</t>
  </si>
  <si>
    <t>Caixa e Depósitos Bancários + Clientes</t>
  </si>
  <si>
    <t>Caixa e Depósitos Bancários</t>
  </si>
  <si>
    <t>Tabela 8.8   Cálculo dos Rácios de Gestão</t>
  </si>
  <si>
    <t>Duração Média dos Inventários</t>
  </si>
  <si>
    <t>Custo das Mercadorias Vendidas e Matérias Consumidas</t>
  </si>
  <si>
    <t>x 365 dias</t>
  </si>
  <si>
    <t>Prazo Médio de Pagamentos</t>
  </si>
  <si>
    <t>Compras + Fornecimentos e Serviços Externos</t>
  </si>
  <si>
    <t>Prazo Médio de Recebimentos</t>
  </si>
  <si>
    <t>Vendas + Prestação de Serviços</t>
  </si>
  <si>
    <t>Tabela 8.9   Cálculo da Duração do Ciclo de Exploração</t>
  </si>
  <si>
    <t>Duração do Ciclo Operacional</t>
  </si>
  <si>
    <t>Duração Média dos Inventários + Prazo Médio de Recebimentos</t>
  </si>
  <si>
    <t>Duração do Ciclo de Caixa</t>
  </si>
  <si>
    <t>Tabela 8.10   Cálculo dos Rácios de Rotação Aplicados à Gestão Corrente</t>
  </si>
  <si>
    <t>Inventários Médios</t>
  </si>
  <si>
    <t>Ativo Corrente Médio</t>
  </si>
  <si>
    <t>Tabela 8.11   Cálculo do Resultado Líquido e da Rentabilidade do Capital Próprio</t>
  </si>
  <si>
    <t>Rendimentos e Ganhos – Gastos e Perdas</t>
  </si>
  <si>
    <r>
      <t xml:space="preserve">Tabela 8.12   Cálculo dos Rácios da Análise </t>
    </r>
    <r>
      <rPr>
        <b/>
        <i/>
        <sz val="11"/>
        <color theme="1"/>
        <rFont val="Times New Roman"/>
        <family val="1"/>
      </rPr>
      <t>DuPont</t>
    </r>
  </si>
  <si>
    <t>Ativo</t>
  </si>
  <si>
    <t>Margem Operacional</t>
  </si>
  <si>
    <t>Tabela 8.13   Cálculo do Valor Económico Acrescentado</t>
  </si>
  <si>
    <t>Valor Económico Acrescentado</t>
  </si>
  <si>
    <r>
      <t>ROL – (Capital Próprio x C</t>
    </r>
    <r>
      <rPr>
        <vertAlign val="subscript"/>
        <sz val="10"/>
        <color theme="1"/>
        <rFont val="Times New Roman"/>
        <family val="1"/>
      </rPr>
      <t>CP</t>
    </r>
    <r>
      <rPr>
        <sz val="10"/>
        <color theme="1"/>
        <rFont val="Times New Roman"/>
        <family val="1"/>
      </rPr>
      <t xml:space="preserve"> + Passivo x C</t>
    </r>
    <r>
      <rPr>
        <vertAlign val="subscript"/>
        <sz val="10"/>
        <color theme="1"/>
        <rFont val="Times New Roman"/>
        <family val="1"/>
      </rPr>
      <t>P</t>
    </r>
    <r>
      <rPr>
        <sz val="10"/>
        <color theme="1"/>
        <rFont val="Times New Roman"/>
        <family val="1"/>
      </rPr>
      <t>)</t>
    </r>
  </si>
  <si>
    <t>Tabela 8.14   Exemplo de Fluxos de Caixa</t>
  </si>
  <si>
    <t>FC Atuais</t>
  </si>
  <si>
    <t>Estimativa dos Fluxos de Caixa Futuros</t>
  </si>
  <si>
    <t>Ano N+1</t>
  </si>
  <si>
    <t>Ano N+2</t>
  </si>
  <si>
    <t>Ano N+3</t>
  </si>
  <si>
    <t>Ano N+4</t>
  </si>
  <si>
    <t>Ano N+5</t>
  </si>
  <si>
    <t>Tabela 8.15   Cálculo do Valor Atualizado Líquido</t>
  </si>
  <si>
    <t>Valor Atualizado Líquido</t>
  </si>
  <si>
    <r>
      <t xml:space="preserve">                     Fluxos de Caixa</t>
    </r>
    <r>
      <rPr>
        <sz val="4"/>
        <color theme="1"/>
        <rFont val="Times New Roman"/>
        <family val="1"/>
      </rPr>
      <t xml:space="preserve"> </t>
    </r>
    <r>
      <rPr>
        <vertAlign val="subscript"/>
        <sz val="10"/>
        <color theme="1"/>
        <rFont val="Times New Roman"/>
        <family val="1"/>
      </rPr>
      <t>t</t>
    </r>
  </si>
  <si>
    <r>
      <t>(1 + Taxa de Desconto ajustada ao Risco)</t>
    </r>
    <r>
      <rPr>
        <sz val="4"/>
        <color theme="1"/>
        <rFont val="Times New Roman"/>
        <family val="1"/>
      </rPr>
      <t xml:space="preserve"> </t>
    </r>
    <r>
      <rPr>
        <vertAlign val="superscript"/>
        <sz val="10"/>
        <color theme="1"/>
        <rFont val="Times New Roman"/>
        <family val="1"/>
      </rPr>
      <t>t</t>
    </r>
  </si>
  <si>
    <t>Tabela 8.16   Síntese dos Fluxos de Caixa do Projeto de Investimento</t>
  </si>
  <si>
    <t>do Projeto</t>
  </si>
  <si>
    <t>+ Resultado líquido do projeto</t>
  </si>
  <si>
    <t>+ Gastos não monetários do projeto (depreciações, amortizações e provisões)</t>
  </si>
  <si>
    <t>+ Encargos financeiros do projeto (juros suportados menos juros obtidos)</t>
  </si>
  <si>
    <t>de Investimento</t>
  </si>
  <si>
    <t>– Investimento em ativos não correntes no projeto (imobilizado, marcas, etc.)</t>
  </si>
  <si>
    <t>– Investimento em ativos correntes no projeto (inventários, clientes, etc.)</t>
  </si>
  <si>
    <t>+ Valor residual de venda dos investimentos no final do projeto (imobilizado, etc.)</t>
  </si>
  <si>
    <t>Tabela 8.17   Exemplo de Fluxos de Caixa Previsionais de um Projeto de Investimento</t>
  </si>
  <si>
    <t>Gastos Variáveis</t>
  </si>
  <si>
    <t>Gastos Fixos</t>
  </si>
  <si>
    <t>Taxa anual de amortização</t>
  </si>
  <si>
    <t>Financiamento com empréstimo bancário</t>
  </si>
  <si>
    <t>Reembolso anual do empréstimo bancário</t>
  </si>
  <si>
    <t>Taxa de juros</t>
  </si>
  <si>
    <t>Tabela 8.18   Cálculo dos Indicadores do Projeto de Investimento</t>
  </si>
  <si>
    <r>
      <t xml:space="preserve">             Fluxos de Caixa Líquidos</t>
    </r>
    <r>
      <rPr>
        <sz val="4"/>
        <color theme="1"/>
        <rFont val="Times New Roman"/>
        <family val="1"/>
      </rPr>
      <t xml:space="preserve"> </t>
    </r>
    <r>
      <rPr>
        <vertAlign val="subscript"/>
        <sz val="10"/>
        <color theme="1"/>
        <rFont val="Times New Roman"/>
        <family val="1"/>
      </rPr>
      <t>t</t>
    </r>
  </si>
  <si>
    <t>Índice de Rentabilidade</t>
  </si>
  <si>
    <r>
      <t xml:space="preserve">        Fluxos de Caixa de Investimento</t>
    </r>
    <r>
      <rPr>
        <sz val="4"/>
        <color theme="1"/>
        <rFont val="Times New Roman"/>
        <family val="1"/>
      </rPr>
      <t xml:space="preserve"> </t>
    </r>
    <r>
      <rPr>
        <vertAlign val="subscript"/>
        <sz val="10"/>
        <color theme="1"/>
        <rFont val="Times New Roman"/>
        <family val="1"/>
      </rPr>
      <t>t</t>
    </r>
  </si>
  <si>
    <r>
      <t xml:space="preserve">   Fluxos de Caixa dos Gastos Variáveis</t>
    </r>
    <r>
      <rPr>
        <sz val="4"/>
        <color theme="1"/>
        <rFont val="Times New Roman"/>
        <family val="1"/>
      </rPr>
      <t xml:space="preserve"> </t>
    </r>
    <r>
      <rPr>
        <vertAlign val="subscript"/>
        <sz val="10"/>
        <color theme="1"/>
        <rFont val="Times New Roman"/>
        <family val="1"/>
      </rPr>
      <t>t</t>
    </r>
  </si>
  <si>
    <r>
      <t xml:space="preserve">           Fluxos de Caixa das Vendas</t>
    </r>
    <r>
      <rPr>
        <sz val="4"/>
        <color theme="1"/>
        <rFont val="Times New Roman"/>
        <family val="1"/>
      </rPr>
      <t xml:space="preserve"> </t>
    </r>
    <r>
      <rPr>
        <vertAlign val="subscript"/>
        <sz val="10"/>
        <color theme="1"/>
        <rFont val="Times New Roman"/>
        <family val="1"/>
      </rPr>
      <t>t</t>
    </r>
  </si>
  <si>
    <t>Taxa Interna de Rentabilidade</t>
  </si>
  <si>
    <t>= 0 €</t>
  </si>
  <si>
    <r>
      <t xml:space="preserve">          Fluxos de Caixa Líquidos</t>
    </r>
    <r>
      <rPr>
        <sz val="4"/>
        <color theme="1"/>
        <rFont val="Times New Roman"/>
        <family val="1"/>
      </rPr>
      <t xml:space="preserve"> </t>
    </r>
    <r>
      <rPr>
        <vertAlign val="subscript"/>
        <sz val="10"/>
        <color theme="1"/>
        <rFont val="Times New Roman"/>
        <family val="1"/>
      </rPr>
      <t>t</t>
    </r>
  </si>
  <si>
    <r>
      <t xml:space="preserve">Período de </t>
    </r>
    <r>
      <rPr>
        <b/>
        <i/>
        <sz val="10"/>
        <color rgb="FF000000"/>
        <rFont val="Times New Roman"/>
        <family val="1"/>
      </rPr>
      <t>Payback</t>
    </r>
  </si>
  <si>
    <t>Taxa de desconto ajustada ao risco do projeto</t>
  </si>
  <si>
    <t>Tabela 8.21   Cálculo dos Rácios de Estrutura Financeira</t>
  </si>
  <si>
    <t>Passivo</t>
  </si>
  <si>
    <t>Estrutura do Passivo</t>
  </si>
  <si>
    <t>Solvabilidade</t>
  </si>
  <si>
    <t>Tabela 8.22   Cálculo da Taxa de Crescimento Sustentável</t>
  </si>
  <si>
    <t>Taxa de Crescimento Sustentável</t>
  </si>
  <si>
    <t>x (1 –</t>
  </si>
  <si>
    <t>Dividendos</t>
  </si>
  <si>
    <t>)</t>
  </si>
  <si>
    <t>Duração Média dos Inventários + Prazo Médio de Recebimentos                     – Prazo Médio de Pagamentos</t>
  </si>
  <si>
    <t xml:space="preserve">             Dívida Média a Fornecedores</t>
  </si>
  <si>
    <t xml:space="preserve">              Inventários Médios</t>
  </si>
  <si>
    <t xml:space="preserve">                     Dívida Média de Clientes</t>
  </si>
  <si>
    <t xml:space="preserve">   Capital Próprio</t>
  </si>
  <si>
    <t>Taxa de imposto</t>
  </si>
  <si>
    <t>Custo do Capital Próprio</t>
  </si>
  <si>
    <t>Custo do Passivo Remunerado</t>
  </si>
  <si>
    <t>Passivo remunerado = Financiamentos obtidos</t>
  </si>
  <si>
    <t>Dividendos como percentagem do resultado líquido</t>
  </si>
  <si>
    <t>Ponto de Equilíbrio Médio
              (em valor)</t>
  </si>
  <si>
    <t xml:space="preserve"> x</t>
  </si>
  <si>
    <t>n</t>
  </si>
  <si>
    <r>
      <t xml:space="preserve">   Fluxos de Caixa Líquidos</t>
    </r>
    <r>
      <rPr>
        <sz val="4"/>
        <color theme="1"/>
        <rFont val="Times New Roman"/>
        <family val="1"/>
      </rPr>
      <t xml:space="preserve"> </t>
    </r>
    <r>
      <rPr>
        <vertAlign val="subscript"/>
        <sz val="10"/>
        <color theme="1"/>
        <rFont val="Times New Roman"/>
        <family val="1"/>
      </rPr>
      <t>t</t>
    </r>
  </si>
  <si>
    <r>
      <t xml:space="preserve">      (1 + Taxa Interna de Rentabilidade)</t>
    </r>
    <r>
      <rPr>
        <sz val="4"/>
        <color theme="1"/>
        <rFont val="Times New Roman"/>
        <family val="1"/>
      </rPr>
      <t xml:space="preserve"> </t>
    </r>
    <r>
      <rPr>
        <vertAlign val="superscript"/>
        <sz val="10"/>
        <color theme="1"/>
        <rFont val="Times New Roman"/>
        <family val="1"/>
      </rPr>
      <t>t</t>
    </r>
  </si>
  <si>
    <r>
      <t xml:space="preserve">         Fluxos de Caixa Operacionais</t>
    </r>
    <r>
      <rPr>
        <sz val="4"/>
        <color theme="1"/>
        <rFont val="Times New Roman"/>
        <family val="1"/>
      </rPr>
      <t xml:space="preserve"> </t>
    </r>
    <r>
      <rPr>
        <vertAlign val="subscript"/>
        <sz val="10"/>
        <color theme="1"/>
        <rFont val="Times New Roman"/>
        <family val="1"/>
      </rPr>
      <t>t</t>
    </r>
  </si>
  <si>
    <t xml:space="preserve">  1 –</t>
  </si>
  <si>
    <r>
      <t xml:space="preserve">     Fluxos de Caixa dos Gastos Fixos</t>
    </r>
    <r>
      <rPr>
        <sz val="4"/>
        <color theme="1"/>
        <rFont val="Times New Roman"/>
        <family val="1"/>
      </rPr>
      <t xml:space="preserve"> </t>
    </r>
    <r>
      <rPr>
        <vertAlign val="subscript"/>
        <sz val="10"/>
        <color theme="1"/>
        <rFont val="Times New Roman"/>
        <family val="1"/>
      </rPr>
      <t>t</t>
    </r>
  </si>
  <si>
    <t>Taxa de desconto ajustada ao risco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</si>
</sst>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\ [$€-1]"/>
    <numFmt numFmtId="165" formatCode="#,##0\ [$€-2]"/>
    <numFmt numFmtId="166" formatCode="0.0"/>
    <numFmt numFmtId="167" formatCode="0.0%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i/>
      <sz val="11"/>
      <color theme="1"/>
      <name val="Times New Roman"/>
      <family val="1"/>
    </font>
    <font>
      <vertAlign val="subscript"/>
      <sz val="10"/>
      <color theme="1"/>
      <name val="Times New Roman"/>
      <family val="1"/>
    </font>
    <font>
      <sz val="4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i/>
      <sz val="10"/>
      <color rgb="FF000000"/>
      <name val="Times New Roman"/>
      <family val="1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BFBFBF"/>
      </left>
      <right style="medium">
        <color rgb="FFBFBFBF"/>
      </right>
      <top/>
      <bottom style="medium">
        <color rgb="FFFFFFFF"/>
      </bottom>
      <diagonal/>
    </border>
    <border>
      <left style="medium">
        <color rgb="FFBFBFBF"/>
      </left>
      <right style="medium">
        <color rgb="FFBFBFBF"/>
      </right>
      <top/>
      <bottom/>
      <diagonal/>
    </border>
    <border>
      <left/>
      <right style="medium">
        <color rgb="FFBFBFBF"/>
      </right>
      <top/>
      <bottom style="medium">
        <color rgb="FFFFFFFF"/>
      </bottom>
      <diagonal/>
    </border>
    <border>
      <left/>
      <right style="medium">
        <color rgb="FFBFBFBF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BFBFBF"/>
      </left>
      <right style="medium">
        <color rgb="FFBFBFBF"/>
      </right>
      <top style="medium">
        <color rgb="FFFFFFFF"/>
      </top>
      <bottom/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BFBFBF"/>
      </bottom>
      <diagonal/>
    </border>
    <border>
      <left/>
      <right style="medium">
        <color rgb="FFFFFFFF"/>
      </right>
      <top/>
      <bottom/>
      <diagonal/>
    </border>
    <border>
      <left/>
      <right/>
      <top/>
      <bottom style="medium">
        <color rgb="FFBFBFB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 style="medium">
        <color rgb="FFFFFFFF"/>
      </left>
      <right/>
      <top/>
      <bottom style="medium">
        <color rgb="FFBFBFBF"/>
      </bottom>
      <diagonal/>
    </border>
    <border>
      <left style="medium">
        <color rgb="FFFFFFFF"/>
      </left>
      <right style="medium">
        <color rgb="FFBFBFBF"/>
      </right>
      <top style="medium">
        <color rgb="FFFFFFFF"/>
      </top>
      <bottom/>
      <diagonal/>
    </border>
    <border>
      <left style="medium">
        <color rgb="FFFFFFFF"/>
      </left>
      <right style="medium">
        <color rgb="FFBFBFBF"/>
      </right>
      <top/>
      <bottom style="medium">
        <color rgb="FFBFBFBF"/>
      </bottom>
      <diagonal/>
    </border>
    <border>
      <left style="medium">
        <color rgb="FFFFFFFF"/>
      </left>
      <right/>
      <top style="medium">
        <color rgb="FFBFBFBF"/>
      </top>
      <bottom/>
      <diagonal/>
    </border>
    <border>
      <left/>
      <right style="medium">
        <color rgb="FFBFBFBF"/>
      </right>
      <top style="medium">
        <color rgb="FFBFBFBF"/>
      </top>
      <bottom/>
      <diagonal/>
    </border>
    <border>
      <left/>
      <right/>
      <top style="medium">
        <color rgb="FFBFBFBF"/>
      </top>
      <bottom/>
      <diagonal/>
    </border>
    <border>
      <left style="medium">
        <color rgb="FFFFFFFF"/>
      </left>
      <right/>
      <top/>
      <bottom/>
      <diagonal/>
    </border>
    <border>
      <left/>
      <right style="medium">
        <color rgb="FFBFBFB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BFBFBF"/>
      </bottom>
      <diagonal/>
    </border>
    <border>
      <left style="medium">
        <color rgb="FFFFFFFF"/>
      </left>
      <right style="medium">
        <color rgb="FFFFFFFF"/>
      </right>
      <top/>
      <bottom style="medium">
        <color indexed="64"/>
      </bottom>
      <diagonal/>
    </border>
    <border>
      <left/>
      <right style="medium">
        <color rgb="FFBFBFBF"/>
      </right>
      <top/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theme="0"/>
      </top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 style="medium">
        <color rgb="FFBFBFB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BFBFBF"/>
      </bottom>
      <diagonal/>
    </border>
    <border>
      <left/>
      <right/>
      <top style="medium">
        <color rgb="FFFFFFFF"/>
      </top>
      <bottom style="medium">
        <color rgb="FFBFBFBF"/>
      </bottom>
      <diagonal/>
    </border>
    <border>
      <left/>
      <right style="medium">
        <color rgb="FFBFBFBF"/>
      </right>
      <top style="medium">
        <color rgb="FFFFFFFF"/>
      </top>
      <bottom style="medium">
        <color rgb="FFBFBFBF"/>
      </bottom>
      <diagonal/>
    </border>
    <border>
      <left style="medium">
        <color rgb="FFFFFFFF"/>
      </left>
      <right/>
      <top style="medium">
        <color rgb="FFFFFFFF"/>
      </top>
      <bottom style="medium">
        <color theme="0" tint="-0.24994659260841701"/>
      </bottom>
      <diagonal/>
    </border>
    <border>
      <left/>
      <right/>
      <top style="medium">
        <color rgb="FFFFFFFF"/>
      </top>
      <bottom style="medium">
        <color theme="0" tint="-0.24994659260841701"/>
      </bottom>
      <diagonal/>
    </border>
    <border>
      <left/>
      <right style="medium">
        <color rgb="FFBFBFBF"/>
      </right>
      <top style="medium">
        <color rgb="FFFFFFFF"/>
      </top>
      <bottom style="medium">
        <color theme="0" tint="-0.24994659260841701"/>
      </bottom>
      <diagonal/>
    </border>
    <border>
      <left style="medium">
        <color rgb="FFBFBFBF"/>
      </left>
      <right style="medium">
        <color rgb="FFBFBFBF"/>
      </right>
      <top/>
      <bottom style="medium">
        <color rgb="FF999999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FFFFFF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rgb="FFBFBFBF"/>
      </right>
      <top style="medium">
        <color theme="0"/>
      </top>
      <bottom/>
      <diagonal/>
    </border>
    <border>
      <left/>
      <right style="medium">
        <color rgb="FFBFBFBF"/>
      </right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rgb="FFBFBFBF"/>
      </right>
      <top/>
      <bottom style="medium">
        <color theme="0" tint="-0.249977111117893"/>
      </bottom>
      <diagonal/>
    </border>
    <border>
      <left style="medium">
        <color rgb="FFFFFFFF"/>
      </left>
      <right/>
      <top style="medium">
        <color theme="0" tint="-0.249977111117893"/>
      </top>
      <bottom/>
      <diagonal/>
    </border>
    <border>
      <left style="medium">
        <color rgb="FFFFFFFF"/>
      </left>
      <right/>
      <top/>
      <bottom style="medium">
        <color theme="0" tint="-0.249977111117893"/>
      </bottom>
      <diagonal/>
    </border>
    <border>
      <left style="medium">
        <color rgb="FFFFFFFF"/>
      </left>
      <right/>
      <top style="medium">
        <color theme="0"/>
      </top>
      <bottom style="medium">
        <color theme="0" tint="-0.249977111117893"/>
      </bottom>
      <diagonal/>
    </border>
    <border>
      <left/>
      <right/>
      <top style="medium">
        <color theme="0"/>
      </top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rgb="FFBFBFBF"/>
      </right>
      <top style="medium">
        <color rgb="FFFFFFFF"/>
      </top>
      <bottom style="medium">
        <color rgb="FFBFBFBF"/>
      </bottom>
      <diagonal/>
    </border>
    <border>
      <left style="medium">
        <color theme="0"/>
      </left>
      <right/>
      <top style="medium">
        <color theme="0" tint="-0.249977111117893"/>
      </top>
      <bottom/>
      <diagonal/>
    </border>
    <border>
      <left style="medium">
        <color theme="0"/>
      </left>
      <right/>
      <top/>
      <bottom style="medium">
        <color theme="0" tint="-0.249977111117893"/>
      </bottom>
      <diagonal/>
    </border>
    <border>
      <left style="medium">
        <color rgb="FFFFFFFF"/>
      </left>
      <right style="medium">
        <color rgb="FFFFFFFF"/>
      </right>
      <top style="medium">
        <color theme="0" tint="-0.249977111117893"/>
      </top>
      <bottom/>
      <diagonal/>
    </border>
    <border>
      <left style="medium">
        <color rgb="FFBFBFBF"/>
      </left>
      <right style="medium">
        <color theme="0" tint="-0.249977111117893"/>
      </right>
      <top style="medium">
        <color rgb="FF999999"/>
      </top>
      <bottom/>
      <diagonal/>
    </border>
    <border>
      <left style="medium">
        <color rgb="FFBFBFBF"/>
      </left>
      <right style="medium">
        <color theme="0" tint="-0.249977111117893"/>
      </right>
      <top/>
      <bottom/>
      <diagonal/>
    </border>
    <border>
      <left style="medium">
        <color rgb="FFBFBFBF"/>
      </left>
      <right style="medium">
        <color theme="0" tint="-0.249977111117893"/>
      </right>
      <top/>
      <bottom style="medium">
        <color rgb="FFBFBFBF"/>
      </bottom>
      <diagonal/>
    </border>
    <border>
      <left style="medium">
        <color rgb="FFFFFFFF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rgb="FFBFBFBF"/>
      </right>
      <top style="medium">
        <color theme="0" tint="-0.24994659260841701"/>
      </top>
      <bottom/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20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164" fontId="1" fillId="0" borderId="6" xfId="0" applyNumberFormat="1" applyFont="1" applyBorder="1" applyAlignment="1">
      <alignment horizontal="right" vertical="center"/>
    </xf>
    <xf numFmtId="164" fontId="1" fillId="0" borderId="5" xfId="0" applyNumberFormat="1" applyFont="1" applyBorder="1" applyAlignment="1">
      <alignment horizontal="right" vertical="center"/>
    </xf>
    <xf numFmtId="164" fontId="4" fillId="2" borderId="8" xfId="0" applyNumberFormat="1" applyFont="1" applyFill="1" applyBorder="1" applyAlignment="1">
      <alignment horizontal="right" vertical="center"/>
    </xf>
    <xf numFmtId="165" fontId="1" fillId="0" borderId="6" xfId="0" applyNumberFormat="1" applyFont="1" applyBorder="1" applyAlignment="1">
      <alignment horizontal="right" vertical="center"/>
    </xf>
    <xf numFmtId="165" fontId="1" fillId="0" borderId="5" xfId="0" applyNumberFormat="1" applyFont="1" applyBorder="1" applyAlignment="1">
      <alignment horizontal="right" vertical="center"/>
    </xf>
    <xf numFmtId="165" fontId="4" fillId="2" borderId="8" xfId="0" applyNumberFormat="1" applyFont="1" applyFill="1" applyBorder="1" applyAlignment="1">
      <alignment horizontal="right" vertical="center"/>
    </xf>
    <xf numFmtId="164" fontId="1" fillId="0" borderId="10" xfId="0" applyNumberFormat="1" applyFont="1" applyBorder="1" applyAlignment="1">
      <alignment horizontal="center" vertical="center"/>
    </xf>
    <xf numFmtId="0" fontId="4" fillId="2" borderId="11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1" fillId="0" borderId="0" xfId="0" applyFont="1"/>
    <xf numFmtId="0" fontId="3" fillId="2" borderId="8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vertical="top"/>
    </xf>
    <xf numFmtId="0" fontId="1" fillId="3" borderId="31" xfId="0" applyFont="1" applyFill="1" applyBorder="1" applyAlignment="1">
      <alignment vertical="top"/>
    </xf>
    <xf numFmtId="0" fontId="1" fillId="3" borderId="10" xfId="0" applyFont="1" applyFill="1" applyBorder="1" applyAlignment="1">
      <alignment horizontal="left" vertical="top"/>
    </xf>
    <xf numFmtId="0" fontId="2" fillId="3" borderId="9" xfId="0" applyFont="1" applyFill="1" applyBorder="1" applyAlignment="1">
      <alignment vertical="center"/>
    </xf>
    <xf numFmtId="0" fontId="0" fillId="3" borderId="0" xfId="0" applyFill="1"/>
    <xf numFmtId="0" fontId="1" fillId="3" borderId="0" xfId="0" applyFont="1" applyFill="1"/>
    <xf numFmtId="0" fontId="9" fillId="3" borderId="0" xfId="0" applyFont="1" applyFill="1"/>
    <xf numFmtId="9" fontId="1" fillId="3" borderId="0" xfId="0" applyNumberFormat="1" applyFont="1" applyFill="1" applyAlignment="1">
      <alignment horizontal="left"/>
    </xf>
    <xf numFmtId="164" fontId="0" fillId="3" borderId="0" xfId="0" applyNumberFormat="1" applyFill="1"/>
    <xf numFmtId="0" fontId="3" fillId="2" borderId="1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right" vertical="center" wrapText="1"/>
    </xf>
    <xf numFmtId="164" fontId="1" fillId="0" borderId="33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right" vertical="center" wrapText="1"/>
    </xf>
    <xf numFmtId="164" fontId="4" fillId="2" borderId="8" xfId="0" applyNumberFormat="1" applyFont="1" applyFill="1" applyBorder="1" applyAlignment="1">
      <alignment horizontal="right" vertical="center" wrapText="1"/>
    </xf>
    <xf numFmtId="0" fontId="4" fillId="2" borderId="34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center" vertical="top"/>
    </xf>
    <xf numFmtId="0" fontId="1" fillId="3" borderId="18" xfId="0" applyFont="1" applyFill="1" applyBorder="1" applyAlignment="1">
      <alignment horizontal="right"/>
    </xf>
    <xf numFmtId="0" fontId="1" fillId="3" borderId="18" xfId="0" applyFont="1" applyFill="1" applyBorder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0" fontId="0" fillId="3" borderId="49" xfId="0" applyFill="1" applyBorder="1"/>
    <xf numFmtId="0" fontId="1" fillId="0" borderId="56" xfId="0" applyFont="1" applyBorder="1" applyAlignment="1">
      <alignment horizontal="center" vertical="center" wrapText="1"/>
    </xf>
    <xf numFmtId="164" fontId="1" fillId="0" borderId="56" xfId="0" applyNumberFormat="1" applyFont="1" applyBorder="1" applyAlignment="1">
      <alignment horizontal="center" vertical="center"/>
    </xf>
    <xf numFmtId="0" fontId="1" fillId="3" borderId="17" xfId="0" applyFont="1" applyFill="1" applyBorder="1" applyAlignment="1">
      <alignment horizontal="left" vertical="top"/>
    </xf>
    <xf numFmtId="165" fontId="1" fillId="0" borderId="56" xfId="0" applyNumberFormat="1" applyFont="1" applyBorder="1" applyAlignment="1">
      <alignment horizontal="center" vertical="center" wrapText="1"/>
    </xf>
    <xf numFmtId="9" fontId="1" fillId="3" borderId="0" xfId="0" applyNumberFormat="1" applyFont="1" applyFill="1"/>
    <xf numFmtId="10" fontId="1" fillId="3" borderId="0" xfId="0" applyNumberFormat="1" applyFont="1" applyFill="1" applyAlignment="1">
      <alignment horizontal="left"/>
    </xf>
    <xf numFmtId="0" fontId="10" fillId="3" borderId="26" xfId="0" applyFont="1" applyFill="1" applyBorder="1" applyAlignment="1">
      <alignment vertical="top"/>
    </xf>
    <xf numFmtId="0" fontId="1" fillId="3" borderId="26" xfId="0" applyFont="1" applyFill="1" applyBorder="1" applyAlignment="1">
      <alignment vertical="center"/>
    </xf>
    <xf numFmtId="0" fontId="1" fillId="3" borderId="28" xfId="0" applyFont="1" applyFill="1" applyBorder="1" applyAlignment="1">
      <alignment vertical="center"/>
    </xf>
    <xf numFmtId="0" fontId="10" fillId="3" borderId="35" xfId="0" applyFont="1" applyFill="1" applyBorder="1" applyAlignment="1">
      <alignment vertical="top"/>
    </xf>
    <xf numFmtId="0" fontId="1" fillId="3" borderId="35" xfId="0" applyFont="1" applyFill="1" applyBorder="1" applyAlignment="1">
      <alignment vertical="top"/>
    </xf>
    <xf numFmtId="0" fontId="1" fillId="3" borderId="9" xfId="0" applyFont="1" applyFill="1" applyBorder="1" applyAlignment="1">
      <alignment vertical="center"/>
    </xf>
    <xf numFmtId="0" fontId="10" fillId="3" borderId="21" xfId="0" applyFont="1" applyFill="1" applyBorder="1" applyAlignment="1">
      <alignment vertical="top"/>
    </xf>
    <xf numFmtId="0" fontId="1" fillId="3" borderId="21" xfId="0" applyFont="1" applyFill="1" applyBorder="1" applyAlignment="1">
      <alignment vertical="center"/>
    </xf>
    <xf numFmtId="0" fontId="1" fillId="3" borderId="22" xfId="0" applyFont="1" applyFill="1" applyBorder="1" applyAlignment="1">
      <alignment vertical="center"/>
    </xf>
    <xf numFmtId="0" fontId="1" fillId="3" borderId="27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3" borderId="30" xfId="0" applyFont="1" applyFill="1" applyBorder="1" applyAlignment="1">
      <alignment vertical="center"/>
    </xf>
    <xf numFmtId="0" fontId="10" fillId="3" borderId="53" xfId="0" applyFont="1" applyFill="1" applyBorder="1" applyAlignment="1">
      <alignment vertical="top"/>
    </xf>
    <xf numFmtId="0" fontId="1" fillId="3" borderId="53" xfId="0" applyFont="1" applyFill="1" applyBorder="1" applyAlignment="1">
      <alignment vertical="top"/>
    </xf>
    <xf numFmtId="0" fontId="1" fillId="3" borderId="50" xfId="0" applyFont="1" applyFill="1" applyBorder="1" applyAlignment="1">
      <alignment vertical="center"/>
    </xf>
    <xf numFmtId="0" fontId="1" fillId="3" borderId="51" xfId="0" applyFont="1" applyFill="1" applyBorder="1" applyAlignment="1">
      <alignment vertical="center"/>
    </xf>
    <xf numFmtId="0" fontId="1" fillId="3" borderId="6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vertical="center"/>
    </xf>
    <xf numFmtId="0" fontId="10" fillId="3" borderId="11" xfId="0" applyFont="1" applyFill="1" applyBorder="1" applyAlignment="1">
      <alignment vertical="top"/>
    </xf>
    <xf numFmtId="0" fontId="11" fillId="3" borderId="6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vertical="top"/>
    </xf>
    <xf numFmtId="0" fontId="1" fillId="3" borderId="5" xfId="0" applyFont="1" applyFill="1" applyBorder="1" applyAlignment="1">
      <alignment horizontal="left" vertical="center"/>
    </xf>
    <xf numFmtId="0" fontId="1" fillId="3" borderId="23" xfId="0" applyFont="1" applyFill="1" applyBorder="1" applyAlignment="1">
      <alignment vertical="top"/>
    </xf>
    <xf numFmtId="0" fontId="1" fillId="3" borderId="19" xfId="0" applyFont="1" applyFill="1" applyBorder="1" applyAlignment="1">
      <alignment vertical="center"/>
    </xf>
    <xf numFmtId="0" fontId="10" fillId="3" borderId="29" xfId="0" applyFont="1" applyFill="1" applyBorder="1" applyAlignment="1">
      <alignment vertical="top"/>
    </xf>
    <xf numFmtId="0" fontId="1" fillId="3" borderId="26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vertical="top"/>
    </xf>
    <xf numFmtId="0" fontId="1" fillId="3" borderId="23" xfId="0" applyFont="1" applyFill="1" applyBorder="1" applyAlignment="1">
      <alignment horizontal="center" vertical="top"/>
    </xf>
    <xf numFmtId="0" fontId="1" fillId="3" borderId="29" xfId="0" applyFont="1" applyFill="1" applyBorder="1" applyAlignment="1">
      <alignment vertical="top"/>
    </xf>
    <xf numFmtId="0" fontId="1" fillId="3" borderId="29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3" fillId="2" borderId="44" xfId="0" applyFont="1" applyFill="1" applyBorder="1" applyAlignment="1">
      <alignment horizontal="center" vertical="center"/>
    </xf>
    <xf numFmtId="2" fontId="0" fillId="3" borderId="0" xfId="0" applyNumberFormat="1" applyFill="1"/>
    <xf numFmtId="2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top"/>
    </xf>
    <xf numFmtId="0" fontId="1" fillId="3" borderId="0" xfId="0" applyFont="1" applyFill="1" applyAlignment="1">
      <alignment horizontal="center" vertical="top"/>
    </xf>
    <xf numFmtId="0" fontId="1" fillId="3" borderId="6" xfId="0" applyFont="1" applyFill="1" applyBorder="1" applyAlignment="1">
      <alignment horizontal="center" vertical="top"/>
    </xf>
    <xf numFmtId="0" fontId="1" fillId="3" borderId="52" xfId="0" applyFont="1" applyFill="1" applyBorder="1" applyAlignment="1">
      <alignment horizontal="center"/>
    </xf>
    <xf numFmtId="0" fontId="1" fillId="3" borderId="49" xfId="0" applyFont="1" applyFill="1" applyBorder="1" applyAlignment="1">
      <alignment horizontal="center"/>
    </xf>
    <xf numFmtId="0" fontId="1" fillId="3" borderId="48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2" fontId="1" fillId="0" borderId="15" xfId="0" applyNumberFormat="1" applyFont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3" borderId="29" xfId="0" applyFont="1" applyFill="1" applyBorder="1" applyAlignment="1">
      <alignment horizontal="center" vertical="top" wrapText="1"/>
    </xf>
    <xf numFmtId="0" fontId="1" fillId="3" borderId="0" xfId="0" applyFont="1" applyFill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3" borderId="52" xfId="0" applyFont="1" applyFill="1" applyBorder="1" applyAlignment="1">
      <alignment horizontal="center" wrapText="1"/>
    </xf>
    <xf numFmtId="0" fontId="1" fillId="3" borderId="49" xfId="0" applyFont="1" applyFill="1" applyBorder="1" applyAlignment="1">
      <alignment horizontal="center" wrapText="1"/>
    </xf>
    <xf numFmtId="0" fontId="1" fillId="3" borderId="48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6" fontId="1" fillId="0" borderId="15" xfId="0" applyNumberFormat="1" applyFont="1" applyBorder="1" applyAlignment="1">
      <alignment horizontal="center" vertical="center" wrapText="1"/>
    </xf>
    <xf numFmtId="166" fontId="1" fillId="0" borderId="14" xfId="0" applyNumberFormat="1" applyFont="1" applyBorder="1" applyAlignment="1">
      <alignment horizontal="center" vertical="center" wrapText="1"/>
    </xf>
    <xf numFmtId="0" fontId="1" fillId="3" borderId="53" xfId="0" applyFont="1" applyFill="1" applyBorder="1" applyAlignment="1">
      <alignment horizontal="right" vertical="top" wrapText="1"/>
    </xf>
    <xf numFmtId="0" fontId="1" fillId="3" borderId="50" xfId="0" applyFont="1" applyFill="1" applyBorder="1" applyAlignment="1">
      <alignment horizontal="right" vertical="top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center" wrapText="1" indent="5"/>
    </xf>
    <xf numFmtId="0" fontId="4" fillId="2" borderId="7" xfId="0" applyFont="1" applyFill="1" applyBorder="1" applyAlignment="1">
      <alignment horizontal="left" vertical="center" wrapText="1" indent="5"/>
    </xf>
    <xf numFmtId="167" fontId="1" fillId="0" borderId="15" xfId="1" applyNumberFormat="1" applyFont="1" applyBorder="1" applyAlignment="1">
      <alignment horizontal="center" vertical="center" wrapText="1"/>
    </xf>
    <xf numFmtId="167" fontId="1" fillId="0" borderId="14" xfId="1" applyNumberFormat="1" applyFont="1" applyBorder="1" applyAlignment="1">
      <alignment horizontal="center" vertical="center" wrapText="1"/>
    </xf>
    <xf numFmtId="0" fontId="1" fillId="3" borderId="53" xfId="0" applyFont="1" applyFill="1" applyBorder="1" applyAlignment="1">
      <alignment horizontal="center" vertical="top" wrapText="1"/>
    </xf>
    <xf numFmtId="0" fontId="1" fillId="3" borderId="50" xfId="0" applyFont="1" applyFill="1" applyBorder="1" applyAlignment="1">
      <alignment horizontal="center" vertical="top" wrapText="1"/>
    </xf>
    <xf numFmtId="0" fontId="1" fillId="3" borderId="51" xfId="0" applyFont="1" applyFill="1" applyBorder="1" applyAlignment="1">
      <alignment horizontal="center" vertical="top" wrapText="1"/>
    </xf>
    <xf numFmtId="0" fontId="1" fillId="3" borderId="12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left" vertical="center"/>
    </xf>
    <xf numFmtId="0" fontId="1" fillId="3" borderId="25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1" fillId="3" borderId="63" xfId="0" applyFont="1" applyFill="1" applyBorder="1" applyAlignment="1">
      <alignment horizontal="center" wrapText="1"/>
    </xf>
    <xf numFmtId="0" fontId="1" fillId="3" borderId="64" xfId="0" applyFont="1" applyFill="1" applyBorder="1" applyAlignment="1">
      <alignment horizontal="center" wrapText="1"/>
    </xf>
    <xf numFmtId="0" fontId="1" fillId="3" borderId="65" xfId="0" applyFont="1" applyFill="1" applyBorder="1" applyAlignment="1">
      <alignment horizontal="center" wrapText="1"/>
    </xf>
    <xf numFmtId="0" fontId="1" fillId="3" borderId="29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6" xfId="0" applyFont="1" applyFill="1" applyBorder="1" applyAlignment="1">
      <alignment horizontal="center"/>
    </xf>
    <xf numFmtId="167" fontId="1" fillId="0" borderId="13" xfId="1" applyNumberFormat="1" applyFont="1" applyBorder="1" applyAlignment="1">
      <alignment horizontal="center" vertical="center"/>
    </xf>
    <xf numFmtId="167" fontId="1" fillId="0" borderId="14" xfId="1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167" fontId="1" fillId="0" borderId="13" xfId="1" applyNumberFormat="1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center" wrapText="1" indent="2"/>
    </xf>
    <xf numFmtId="0" fontId="4" fillId="2" borderId="7" xfId="0" applyFont="1" applyFill="1" applyBorder="1" applyAlignment="1">
      <alignment horizontal="left" vertical="center" wrapText="1" indent="2"/>
    </xf>
    <xf numFmtId="166" fontId="1" fillId="0" borderId="13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9" fontId="1" fillId="0" borderId="15" xfId="0" applyNumberFormat="1" applyFont="1" applyBorder="1" applyAlignment="1">
      <alignment horizontal="center" vertical="center" wrapText="1"/>
    </xf>
    <xf numFmtId="9" fontId="1" fillId="0" borderId="14" xfId="0" applyNumberFormat="1" applyFont="1" applyBorder="1" applyAlignment="1">
      <alignment horizontal="center" vertical="center" wrapText="1"/>
    </xf>
    <xf numFmtId="0" fontId="1" fillId="0" borderId="49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1" fillId="0" borderId="50" xfId="0" applyFont="1" applyBorder="1" applyAlignment="1">
      <alignment horizontal="left" vertical="center"/>
    </xf>
    <xf numFmtId="0" fontId="1" fillId="0" borderId="51" xfId="0" applyFont="1" applyBorder="1" applyAlignment="1">
      <alignment horizontal="left" vertical="center"/>
    </xf>
    <xf numFmtId="0" fontId="4" fillId="2" borderId="44" xfId="0" applyFont="1" applyFill="1" applyBorder="1" applyAlignment="1">
      <alignment horizontal="left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9" fontId="1" fillId="0" borderId="13" xfId="0" applyNumberFormat="1" applyFont="1" applyBorder="1" applyAlignment="1">
      <alignment horizontal="center" vertical="center" wrapText="1"/>
    </xf>
    <xf numFmtId="0" fontId="1" fillId="0" borderId="46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0" fontId="1" fillId="3" borderId="45" xfId="0" applyFont="1" applyFill="1" applyBorder="1" applyAlignment="1">
      <alignment horizontal="center" wrapText="1"/>
    </xf>
    <xf numFmtId="0" fontId="1" fillId="3" borderId="46" xfId="0" applyFont="1" applyFill="1" applyBorder="1" applyAlignment="1">
      <alignment horizontal="center" wrapText="1"/>
    </xf>
    <xf numFmtId="164" fontId="1" fillId="0" borderId="13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justify" vertical="center" wrapText="1"/>
    </xf>
    <xf numFmtId="0" fontId="3" fillId="2" borderId="29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64" fontId="1" fillId="0" borderId="35" xfId="0" applyNumberFormat="1" applyFont="1" applyBorder="1" applyAlignment="1">
      <alignment horizontal="left" vertical="center"/>
    </xf>
    <xf numFmtId="164" fontId="1" fillId="0" borderId="9" xfId="0" applyNumberFormat="1" applyFont="1" applyBorder="1" applyAlignment="1">
      <alignment horizontal="left" vertical="center"/>
    </xf>
    <xf numFmtId="164" fontId="1" fillId="0" borderId="5" xfId="0" applyNumberFormat="1" applyFont="1" applyBorder="1" applyAlignment="1">
      <alignment horizontal="left" vertical="center"/>
    </xf>
    <xf numFmtId="164" fontId="1" fillId="0" borderId="20" xfId="0" applyNumberFormat="1" applyFont="1" applyBorder="1" applyAlignment="1">
      <alignment horizontal="left" vertical="center"/>
    </xf>
    <xf numFmtId="164" fontId="1" fillId="0" borderId="16" xfId="0" applyNumberFormat="1" applyFont="1" applyBorder="1" applyAlignment="1">
      <alignment horizontal="left" vertical="center"/>
    </xf>
    <xf numFmtId="164" fontId="1" fillId="0" borderId="36" xfId="0" applyNumberFormat="1" applyFont="1" applyBorder="1" applyAlignment="1">
      <alignment horizontal="left" vertical="center"/>
    </xf>
    <xf numFmtId="164" fontId="1" fillId="0" borderId="40" xfId="0" applyNumberFormat="1" applyFont="1" applyBorder="1" applyAlignment="1">
      <alignment horizontal="left" vertical="center"/>
    </xf>
    <xf numFmtId="164" fontId="1" fillId="0" borderId="41" xfId="0" applyNumberFormat="1" applyFont="1" applyBorder="1" applyAlignment="1">
      <alignment horizontal="left" vertical="center"/>
    </xf>
    <xf numFmtId="164" fontId="1" fillId="0" borderId="42" xfId="0" applyNumberFormat="1" applyFont="1" applyBorder="1" applyAlignment="1">
      <alignment horizontal="left" vertical="center"/>
    </xf>
    <xf numFmtId="164" fontId="1" fillId="0" borderId="37" xfId="0" applyNumberFormat="1" applyFont="1" applyBorder="1" applyAlignment="1">
      <alignment horizontal="left" vertical="center"/>
    </xf>
    <xf numFmtId="164" fontId="1" fillId="0" borderId="38" xfId="0" applyNumberFormat="1" applyFont="1" applyBorder="1" applyAlignment="1">
      <alignment horizontal="left" vertical="center"/>
    </xf>
    <xf numFmtId="164" fontId="1" fillId="0" borderId="39" xfId="0" applyNumberFormat="1" applyFont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10" fontId="1" fillId="0" borderId="15" xfId="0" applyNumberFormat="1" applyFont="1" applyBorder="1" applyAlignment="1">
      <alignment horizontal="center" vertical="center"/>
    </xf>
    <xf numFmtId="10" fontId="1" fillId="0" borderId="14" xfId="0" applyNumberFormat="1" applyFont="1" applyBorder="1" applyAlignment="1">
      <alignment horizontal="center" vertical="center"/>
    </xf>
    <xf numFmtId="164" fontId="1" fillId="0" borderId="60" xfId="0" applyNumberFormat="1" applyFont="1" applyBorder="1" applyAlignment="1">
      <alignment horizontal="center" vertical="center"/>
    </xf>
    <xf numFmtId="164" fontId="1" fillId="0" borderId="61" xfId="0" applyNumberFormat="1" applyFont="1" applyBorder="1" applyAlignment="1">
      <alignment horizontal="center" vertical="center"/>
    </xf>
    <xf numFmtId="164" fontId="1" fillId="0" borderId="62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4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3" borderId="59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1" fillId="3" borderId="31" xfId="0" applyFont="1" applyFill="1" applyBorder="1" applyAlignment="1">
      <alignment horizontal="left" vertical="center"/>
    </xf>
    <xf numFmtId="0" fontId="1" fillId="3" borderId="26" xfId="0" applyFont="1" applyFill="1" applyBorder="1" applyAlignment="1">
      <alignment horizontal="left" vertical="center"/>
    </xf>
    <xf numFmtId="0" fontId="1" fillId="3" borderId="27" xfId="0" applyFont="1" applyFill="1" applyBorder="1" applyAlignment="1">
      <alignment horizontal="left" vertical="center"/>
    </xf>
    <xf numFmtId="0" fontId="1" fillId="3" borderId="23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/>
    </xf>
    <xf numFmtId="0" fontId="1" fillId="3" borderId="28" xfId="0" applyFont="1" applyFill="1" applyBorder="1" applyAlignment="1">
      <alignment horizontal="left" vertical="center"/>
    </xf>
    <xf numFmtId="0" fontId="1" fillId="3" borderId="19" xfId="0" applyFont="1" applyFill="1" applyBorder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29936</xdr:colOff>
      <xdr:row>80</xdr:row>
      <xdr:rowOff>9525</xdr:rowOff>
    </xdr:from>
    <xdr:to>
      <xdr:col>7</xdr:col>
      <xdr:colOff>999400</xdr:colOff>
      <xdr:row>80</xdr:row>
      <xdr:rowOff>11792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85D5D400-6E65-8BFA-4061-CF8243918717}"/>
            </a:ext>
          </a:extLst>
        </xdr:cNvPr>
        <xdr:cNvCxnSpPr/>
      </xdr:nvCxnSpPr>
      <xdr:spPr>
        <a:xfrm>
          <a:off x="9595757" y="14875329"/>
          <a:ext cx="969464" cy="226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43543</xdr:colOff>
      <xdr:row>80</xdr:row>
      <xdr:rowOff>9524</xdr:rowOff>
    </xdr:from>
    <xdr:to>
      <xdr:col>5</xdr:col>
      <xdr:colOff>1013007</xdr:colOff>
      <xdr:row>80</xdr:row>
      <xdr:rowOff>11791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99A2C373-82E9-329C-21E1-1C13800428E7}"/>
            </a:ext>
          </a:extLst>
        </xdr:cNvPr>
        <xdr:cNvCxnSpPr/>
      </xdr:nvCxnSpPr>
      <xdr:spPr>
        <a:xfrm>
          <a:off x="8221436" y="14875328"/>
          <a:ext cx="969464" cy="226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907597</xdr:colOff>
      <xdr:row>69</xdr:row>
      <xdr:rowOff>13607</xdr:rowOff>
    </xdr:from>
    <xdr:to>
      <xdr:col>7</xdr:col>
      <xdr:colOff>312965</xdr:colOff>
      <xdr:row>69</xdr:row>
      <xdr:rowOff>16328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1382DB91-5194-E277-ACE0-FBF1FFA2F494}"/>
            </a:ext>
          </a:extLst>
        </xdr:cNvPr>
        <xdr:cNvCxnSpPr/>
      </xdr:nvCxnSpPr>
      <xdr:spPr>
        <a:xfrm flipV="1">
          <a:off x="9085490" y="12743089"/>
          <a:ext cx="793296" cy="272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87090</xdr:colOff>
      <xdr:row>71</xdr:row>
      <xdr:rowOff>5443</xdr:rowOff>
    </xdr:from>
    <xdr:to>
      <xdr:col>7</xdr:col>
      <xdr:colOff>92261</xdr:colOff>
      <xdr:row>71</xdr:row>
      <xdr:rowOff>5443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883A14DD-E7DF-9F10-1874-00147BFF92CD}"/>
            </a:ext>
          </a:extLst>
        </xdr:cNvPr>
        <xdr:cNvCxnSpPr/>
      </xdr:nvCxnSpPr>
      <xdr:spPr>
        <a:xfrm>
          <a:off x="9292322" y="13122729"/>
          <a:ext cx="36576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740229</xdr:colOff>
      <xdr:row>73</xdr:row>
      <xdr:rowOff>6804</xdr:rowOff>
    </xdr:from>
    <xdr:to>
      <xdr:col>7</xdr:col>
      <xdr:colOff>469447</xdr:colOff>
      <xdr:row>73</xdr:row>
      <xdr:rowOff>6804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E6B17096-0FF6-8928-846C-7CC1D47DB380}"/>
            </a:ext>
          </a:extLst>
        </xdr:cNvPr>
        <xdr:cNvCxnSpPr/>
      </xdr:nvCxnSpPr>
      <xdr:spPr>
        <a:xfrm flipV="1">
          <a:off x="8918122" y="13511893"/>
          <a:ext cx="111714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907598</xdr:colOff>
      <xdr:row>75</xdr:row>
      <xdr:rowOff>13607</xdr:rowOff>
    </xdr:from>
    <xdr:to>
      <xdr:col>7</xdr:col>
      <xdr:colOff>312966</xdr:colOff>
      <xdr:row>75</xdr:row>
      <xdr:rowOff>16328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39050796-DD47-3A95-2C3F-1E606B84DBE1}"/>
            </a:ext>
          </a:extLst>
        </xdr:cNvPr>
        <xdr:cNvCxnSpPr/>
      </xdr:nvCxnSpPr>
      <xdr:spPr>
        <a:xfrm flipV="1">
          <a:off x="9085491" y="13906500"/>
          <a:ext cx="793296" cy="272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893991</xdr:colOff>
      <xdr:row>55</xdr:row>
      <xdr:rowOff>183696</xdr:rowOff>
    </xdr:from>
    <xdr:to>
      <xdr:col>7</xdr:col>
      <xdr:colOff>299359</xdr:colOff>
      <xdr:row>55</xdr:row>
      <xdr:rowOff>186417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E8E026FB-E7F5-60F5-F0ED-C74429CDBFB9}"/>
            </a:ext>
          </a:extLst>
        </xdr:cNvPr>
        <xdr:cNvCxnSpPr/>
      </xdr:nvCxnSpPr>
      <xdr:spPr>
        <a:xfrm flipV="1">
          <a:off x="9071884" y="10967357"/>
          <a:ext cx="793296" cy="272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342902</xdr:colOff>
      <xdr:row>52</xdr:row>
      <xdr:rowOff>9525</xdr:rowOff>
    </xdr:from>
    <xdr:to>
      <xdr:col>7</xdr:col>
      <xdr:colOff>870858</xdr:colOff>
      <xdr:row>52</xdr:row>
      <xdr:rowOff>9525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6F039256-4D89-4A22-9757-3840BC7FDECA}"/>
            </a:ext>
          </a:extLst>
        </xdr:cNvPr>
        <xdr:cNvCxnSpPr/>
      </xdr:nvCxnSpPr>
      <xdr:spPr>
        <a:xfrm>
          <a:off x="8520795" y="10595882"/>
          <a:ext cx="191588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349706</xdr:colOff>
      <xdr:row>50</xdr:row>
      <xdr:rowOff>16328</xdr:rowOff>
    </xdr:from>
    <xdr:to>
      <xdr:col>7</xdr:col>
      <xdr:colOff>877662</xdr:colOff>
      <xdr:row>50</xdr:row>
      <xdr:rowOff>16328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2957EDCC-1E55-3B97-65AD-9F0D9D144816}"/>
            </a:ext>
          </a:extLst>
        </xdr:cNvPr>
        <xdr:cNvCxnSpPr/>
      </xdr:nvCxnSpPr>
      <xdr:spPr>
        <a:xfrm>
          <a:off x="8527599" y="10214882"/>
          <a:ext cx="191588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540206</xdr:colOff>
      <xdr:row>48</xdr:row>
      <xdr:rowOff>6804</xdr:rowOff>
    </xdr:from>
    <xdr:to>
      <xdr:col>7</xdr:col>
      <xdr:colOff>680358</xdr:colOff>
      <xdr:row>48</xdr:row>
      <xdr:rowOff>6804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70DC7099-AE04-E535-7760-E71607AAED06}"/>
            </a:ext>
          </a:extLst>
        </xdr:cNvPr>
        <xdr:cNvCxnSpPr/>
      </xdr:nvCxnSpPr>
      <xdr:spPr>
        <a:xfrm flipV="1">
          <a:off x="8718099" y="9817554"/>
          <a:ext cx="152808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461285</xdr:colOff>
      <xdr:row>46</xdr:row>
      <xdr:rowOff>2722</xdr:rowOff>
    </xdr:from>
    <xdr:to>
      <xdr:col>7</xdr:col>
      <xdr:colOff>741590</xdr:colOff>
      <xdr:row>46</xdr:row>
      <xdr:rowOff>6804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E7FC875E-3288-AE9E-8F23-970A630E02D5}"/>
            </a:ext>
          </a:extLst>
        </xdr:cNvPr>
        <xdr:cNvCxnSpPr/>
      </xdr:nvCxnSpPr>
      <xdr:spPr>
        <a:xfrm>
          <a:off x="8639178" y="9425668"/>
          <a:ext cx="1668233" cy="408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468088</xdr:colOff>
      <xdr:row>54</xdr:row>
      <xdr:rowOff>16329</xdr:rowOff>
    </xdr:from>
    <xdr:to>
      <xdr:col>7</xdr:col>
      <xdr:colOff>748393</xdr:colOff>
      <xdr:row>54</xdr:row>
      <xdr:rowOff>20411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45035701-B085-9EEB-4F85-41D91C18ACD5}"/>
            </a:ext>
          </a:extLst>
        </xdr:cNvPr>
        <xdr:cNvCxnSpPr/>
      </xdr:nvCxnSpPr>
      <xdr:spPr>
        <a:xfrm>
          <a:off x="8645981" y="9051472"/>
          <a:ext cx="1668233" cy="408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808267</xdr:colOff>
      <xdr:row>44</xdr:row>
      <xdr:rowOff>13607</xdr:rowOff>
    </xdr:from>
    <xdr:to>
      <xdr:col>7</xdr:col>
      <xdr:colOff>387804</xdr:colOff>
      <xdr:row>44</xdr:row>
      <xdr:rowOff>16329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93A5842A-62C4-838B-257D-FBE6C7276E8A}"/>
            </a:ext>
          </a:extLst>
        </xdr:cNvPr>
        <xdr:cNvCxnSpPr/>
      </xdr:nvCxnSpPr>
      <xdr:spPr>
        <a:xfrm flipV="1">
          <a:off x="8986160" y="8660946"/>
          <a:ext cx="967465" cy="272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808267</xdr:colOff>
      <xdr:row>38</xdr:row>
      <xdr:rowOff>190500</xdr:rowOff>
    </xdr:from>
    <xdr:to>
      <xdr:col>7</xdr:col>
      <xdr:colOff>387804</xdr:colOff>
      <xdr:row>38</xdr:row>
      <xdr:rowOff>193222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197EE5F8-9C13-50E7-EC26-989FD0690193}"/>
            </a:ext>
          </a:extLst>
        </xdr:cNvPr>
        <xdr:cNvCxnSpPr/>
      </xdr:nvCxnSpPr>
      <xdr:spPr>
        <a:xfrm flipV="1">
          <a:off x="8986160" y="7660821"/>
          <a:ext cx="967465" cy="272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910320</xdr:colOff>
      <xdr:row>33</xdr:row>
      <xdr:rowOff>6803</xdr:rowOff>
    </xdr:from>
    <xdr:to>
      <xdr:col>8</xdr:col>
      <xdr:colOff>156482</xdr:colOff>
      <xdr:row>33</xdr:row>
      <xdr:rowOff>9524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FA80C868-1D03-6C33-73F8-757690376EDA}"/>
            </a:ext>
          </a:extLst>
        </xdr:cNvPr>
        <xdr:cNvCxnSpPr/>
      </xdr:nvCxnSpPr>
      <xdr:spPr>
        <a:xfrm flipV="1">
          <a:off x="9088213" y="6490607"/>
          <a:ext cx="1641019" cy="272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250373</xdr:colOff>
      <xdr:row>31</xdr:row>
      <xdr:rowOff>0</xdr:rowOff>
    </xdr:from>
    <xdr:to>
      <xdr:col>9</xdr:col>
      <xdr:colOff>571500</xdr:colOff>
      <xdr:row>31</xdr:row>
      <xdr:rowOff>2720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9C711B8D-7796-776B-AFED-E9F4BCFC9F11}"/>
            </a:ext>
          </a:extLst>
        </xdr:cNvPr>
        <xdr:cNvCxnSpPr/>
      </xdr:nvCxnSpPr>
      <xdr:spPr>
        <a:xfrm flipV="1">
          <a:off x="8428266" y="6096000"/>
          <a:ext cx="2913288" cy="272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727982</xdr:colOff>
      <xdr:row>19</xdr:row>
      <xdr:rowOff>190500</xdr:rowOff>
    </xdr:from>
    <xdr:to>
      <xdr:col>7</xdr:col>
      <xdr:colOff>972912</xdr:colOff>
      <xdr:row>19</xdr:row>
      <xdr:rowOff>190500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5E2EF353-3A95-BDDC-5197-A5BFDD672614}"/>
            </a:ext>
          </a:extLst>
        </xdr:cNvPr>
        <xdr:cNvCxnSpPr/>
      </xdr:nvCxnSpPr>
      <xdr:spPr>
        <a:xfrm flipV="1">
          <a:off x="8905875" y="3918857"/>
          <a:ext cx="1632858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131989</xdr:colOff>
      <xdr:row>15</xdr:row>
      <xdr:rowOff>190501</xdr:rowOff>
    </xdr:from>
    <xdr:to>
      <xdr:col>7</xdr:col>
      <xdr:colOff>972911</xdr:colOff>
      <xdr:row>15</xdr:row>
      <xdr:rowOff>190501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41B33B31-F842-760C-6123-B9F651990592}"/>
            </a:ext>
          </a:extLst>
        </xdr:cNvPr>
        <xdr:cNvCxnSpPr/>
      </xdr:nvCxnSpPr>
      <xdr:spPr>
        <a:xfrm>
          <a:off x="8309882" y="3136447"/>
          <a:ext cx="22288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449036</xdr:colOff>
      <xdr:row>18</xdr:row>
      <xdr:rowOff>6803</xdr:rowOff>
    </xdr:from>
    <xdr:to>
      <xdr:col>7</xdr:col>
      <xdr:colOff>972911</xdr:colOff>
      <xdr:row>18</xdr:row>
      <xdr:rowOff>6804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F7FEAE-5357-A13B-FC63-3E188C6D3540}"/>
            </a:ext>
          </a:extLst>
        </xdr:cNvPr>
        <xdr:cNvCxnSpPr/>
      </xdr:nvCxnSpPr>
      <xdr:spPr>
        <a:xfrm>
          <a:off x="8626929" y="3537857"/>
          <a:ext cx="1911803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578303</xdr:colOff>
      <xdr:row>11</xdr:row>
      <xdr:rowOff>6804</xdr:rowOff>
    </xdr:from>
    <xdr:to>
      <xdr:col>7</xdr:col>
      <xdr:colOff>639536</xdr:colOff>
      <xdr:row>11</xdr:row>
      <xdr:rowOff>6804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D17BB994-2FA1-1C8D-3A1F-136D1183981A}"/>
            </a:ext>
          </a:extLst>
        </xdr:cNvPr>
        <xdr:cNvCxnSpPr/>
      </xdr:nvCxnSpPr>
      <xdr:spPr>
        <a:xfrm>
          <a:off x="8756196" y="2163536"/>
          <a:ext cx="1449161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292553</xdr:colOff>
      <xdr:row>9</xdr:row>
      <xdr:rowOff>0</xdr:rowOff>
    </xdr:from>
    <xdr:to>
      <xdr:col>7</xdr:col>
      <xdr:colOff>904875</xdr:colOff>
      <xdr:row>9</xdr:row>
      <xdr:rowOff>0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41E76175-3933-FBEA-81CE-F2723B6C8D21}"/>
            </a:ext>
          </a:extLst>
        </xdr:cNvPr>
        <xdr:cNvCxnSpPr/>
      </xdr:nvCxnSpPr>
      <xdr:spPr>
        <a:xfrm flipV="1">
          <a:off x="8470446" y="1768929"/>
          <a:ext cx="20002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870856</xdr:colOff>
      <xdr:row>6</xdr:row>
      <xdr:rowOff>183697</xdr:rowOff>
    </xdr:from>
    <xdr:to>
      <xdr:col>7</xdr:col>
      <xdr:colOff>346983</xdr:colOff>
      <xdr:row>6</xdr:row>
      <xdr:rowOff>183697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1C910083-7D67-D855-9811-BD22EA3E7420}"/>
            </a:ext>
          </a:extLst>
        </xdr:cNvPr>
        <xdr:cNvCxnSpPr/>
      </xdr:nvCxnSpPr>
      <xdr:spPr>
        <a:xfrm>
          <a:off x="9048749" y="1367518"/>
          <a:ext cx="86405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163286</xdr:colOff>
      <xdr:row>2</xdr:row>
      <xdr:rowOff>40822</xdr:rowOff>
    </xdr:from>
    <xdr:to>
      <xdr:col>10</xdr:col>
      <xdr:colOff>4084</xdr:colOff>
      <xdr:row>3</xdr:row>
      <xdr:rowOff>142876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EAF01DB-33E8-2E59-7EDA-65D632D41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9304" y="435429"/>
          <a:ext cx="296637" cy="2993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17327</xdr:colOff>
      <xdr:row>2</xdr:row>
      <xdr:rowOff>191951</xdr:rowOff>
    </xdr:from>
    <xdr:to>
      <xdr:col>10</xdr:col>
      <xdr:colOff>2164807</xdr:colOff>
      <xdr:row>2</xdr:row>
      <xdr:rowOff>191951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E2E7AAC-EB12-2312-2621-B2A6DB41E83C}"/>
            </a:ext>
          </a:extLst>
        </xdr:cNvPr>
        <xdr:cNvCxnSpPr/>
      </xdr:nvCxnSpPr>
      <xdr:spPr>
        <a:xfrm flipV="1">
          <a:off x="9045666" y="586558"/>
          <a:ext cx="214748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306539</xdr:colOff>
      <xdr:row>2</xdr:row>
      <xdr:rowOff>13607</xdr:rowOff>
    </xdr:from>
    <xdr:to>
      <xdr:col>10</xdr:col>
      <xdr:colOff>22511</xdr:colOff>
      <xdr:row>3</xdr:row>
      <xdr:rowOff>170089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A9763BA8-28D1-FFD0-071B-F05A4C2E1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4235" y="408214"/>
          <a:ext cx="287472" cy="353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272148</xdr:colOff>
      <xdr:row>16</xdr:row>
      <xdr:rowOff>20411</xdr:rowOff>
    </xdr:from>
    <xdr:to>
      <xdr:col>10</xdr:col>
      <xdr:colOff>88452</xdr:colOff>
      <xdr:row>18</xdr:row>
      <xdr:rowOff>0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BB989B78-7CEF-4539-F1B6-06A405E1273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t="2" b="-7548"/>
        <a:stretch/>
      </xdr:blipFill>
      <xdr:spPr bwMode="auto">
        <a:xfrm>
          <a:off x="9599844" y="3265715"/>
          <a:ext cx="387804" cy="38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35832</xdr:colOff>
      <xdr:row>3</xdr:row>
      <xdr:rowOff>6804</xdr:rowOff>
    </xdr:from>
    <xdr:to>
      <xdr:col>10</xdr:col>
      <xdr:colOff>2238375</xdr:colOff>
      <xdr:row>3</xdr:row>
      <xdr:rowOff>10070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ECB0164D-D837-8F9F-718C-0DC70D6A6D25}"/>
            </a:ext>
          </a:extLst>
        </xdr:cNvPr>
        <xdr:cNvCxnSpPr/>
      </xdr:nvCxnSpPr>
      <xdr:spPr>
        <a:xfrm flipV="1">
          <a:off x="9628868" y="598715"/>
          <a:ext cx="2202543" cy="326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31750</xdr:colOff>
      <xdr:row>5</xdr:row>
      <xdr:rowOff>16330</xdr:rowOff>
    </xdr:from>
    <xdr:to>
      <xdr:col>10</xdr:col>
      <xdr:colOff>2234293</xdr:colOff>
      <xdr:row>5</xdr:row>
      <xdr:rowOff>19596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DB3AA6A7-3074-572F-5595-A7D02DC7CEF9}"/>
            </a:ext>
          </a:extLst>
        </xdr:cNvPr>
        <xdr:cNvCxnSpPr/>
      </xdr:nvCxnSpPr>
      <xdr:spPr>
        <a:xfrm flipV="1">
          <a:off x="9624786" y="1016455"/>
          <a:ext cx="2202543" cy="326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4536</xdr:colOff>
      <xdr:row>17</xdr:row>
      <xdr:rowOff>16330</xdr:rowOff>
    </xdr:from>
    <xdr:to>
      <xdr:col>10</xdr:col>
      <xdr:colOff>2207079</xdr:colOff>
      <xdr:row>17</xdr:row>
      <xdr:rowOff>19596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78DAD1DF-E760-8B1D-52DD-DFA624264748}"/>
            </a:ext>
          </a:extLst>
        </xdr:cNvPr>
        <xdr:cNvCxnSpPr/>
      </xdr:nvCxnSpPr>
      <xdr:spPr>
        <a:xfrm flipV="1">
          <a:off x="9774465" y="3458937"/>
          <a:ext cx="2202543" cy="326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319768</xdr:colOff>
      <xdr:row>6</xdr:row>
      <xdr:rowOff>0</xdr:rowOff>
    </xdr:from>
    <xdr:to>
      <xdr:col>11</xdr:col>
      <xdr:colOff>74839</xdr:colOff>
      <xdr:row>6</xdr:row>
      <xdr:rowOff>6803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9626A1A3-31CC-45E7-4329-1EB8E9A86C76}"/>
            </a:ext>
          </a:extLst>
        </xdr:cNvPr>
        <xdr:cNvCxnSpPr/>
      </xdr:nvCxnSpPr>
      <xdr:spPr>
        <a:xfrm flipV="1">
          <a:off x="9572625" y="1211036"/>
          <a:ext cx="2537732" cy="680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322868</xdr:colOff>
      <xdr:row>4</xdr:row>
      <xdr:rowOff>29936</xdr:rowOff>
    </xdr:from>
    <xdr:to>
      <xdr:col>10</xdr:col>
      <xdr:colOff>38840</xdr:colOff>
      <xdr:row>5</xdr:row>
      <xdr:rowOff>186418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id="{88DFC346-8235-6E67-7D37-1885D838E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0564" y="832757"/>
          <a:ext cx="287472" cy="353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336475</xdr:colOff>
      <xdr:row>6</xdr:row>
      <xdr:rowOff>36739</xdr:rowOff>
    </xdr:from>
    <xdr:to>
      <xdr:col>10</xdr:col>
      <xdr:colOff>52447</xdr:colOff>
      <xdr:row>7</xdr:row>
      <xdr:rowOff>193222</xdr:rowOff>
    </xdr:to>
    <xdr:pic>
      <xdr:nvPicPr>
        <xdr:cNvPr id="48" name="Picture 47">
          <a:extLst>
            <a:ext uri="{FF2B5EF4-FFF2-40B4-BE49-F238E27FC236}">
              <a16:creationId xmlns:a16="http://schemas.microsoft.com/office/drawing/2014/main" id="{44105DB9-F006-F8F6-F765-E4A653DF1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4171" y="1247775"/>
          <a:ext cx="287472" cy="353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329672</xdr:colOff>
      <xdr:row>8</xdr:row>
      <xdr:rowOff>36740</xdr:rowOff>
    </xdr:from>
    <xdr:to>
      <xdr:col>10</xdr:col>
      <xdr:colOff>45644</xdr:colOff>
      <xdr:row>9</xdr:row>
      <xdr:rowOff>200026</xdr:rowOff>
    </xdr:to>
    <xdr:pic>
      <xdr:nvPicPr>
        <xdr:cNvPr id="49" name="Picture 48">
          <a:extLst>
            <a:ext uri="{FF2B5EF4-FFF2-40B4-BE49-F238E27FC236}">
              <a16:creationId xmlns:a16="http://schemas.microsoft.com/office/drawing/2014/main" id="{86F98FFF-D5BB-6A51-D984-5430AA58D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7368" y="1655990"/>
          <a:ext cx="287472" cy="353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183695</xdr:colOff>
      <xdr:row>9</xdr:row>
      <xdr:rowOff>5444</xdr:rowOff>
    </xdr:from>
    <xdr:to>
      <xdr:col>12</xdr:col>
      <xdr:colOff>93889</xdr:colOff>
      <xdr:row>9</xdr:row>
      <xdr:rowOff>6803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A2CA0F8-F935-CC9A-99A9-A8C4E0C6AE8A}"/>
            </a:ext>
          </a:extLst>
        </xdr:cNvPr>
        <xdr:cNvCxnSpPr/>
      </xdr:nvCxnSpPr>
      <xdr:spPr>
        <a:xfrm flipV="1">
          <a:off x="12219213" y="1815194"/>
          <a:ext cx="93890" cy="135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343279</xdr:colOff>
      <xdr:row>10</xdr:row>
      <xdr:rowOff>36740</xdr:rowOff>
    </xdr:from>
    <xdr:to>
      <xdr:col>10</xdr:col>
      <xdr:colOff>59251</xdr:colOff>
      <xdr:row>11</xdr:row>
      <xdr:rowOff>193223</xdr:rowOff>
    </xdr:to>
    <xdr:pic>
      <xdr:nvPicPr>
        <xdr:cNvPr id="51" name="Picture 50">
          <a:extLst>
            <a:ext uri="{FF2B5EF4-FFF2-40B4-BE49-F238E27FC236}">
              <a16:creationId xmlns:a16="http://schemas.microsoft.com/office/drawing/2014/main" id="{7C9DF52C-41D6-955F-DF02-0C01B2D75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0975" y="2057401"/>
          <a:ext cx="287472" cy="353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102052</xdr:colOff>
      <xdr:row>10</xdr:row>
      <xdr:rowOff>13606</xdr:rowOff>
    </xdr:from>
    <xdr:to>
      <xdr:col>12</xdr:col>
      <xdr:colOff>149677</xdr:colOff>
      <xdr:row>10</xdr:row>
      <xdr:rowOff>20410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9027AE8A-B15F-4C97-85C9-771D0E241C40}"/>
            </a:ext>
          </a:extLst>
        </xdr:cNvPr>
        <xdr:cNvCxnSpPr/>
      </xdr:nvCxnSpPr>
      <xdr:spPr>
        <a:xfrm>
          <a:off x="9429748" y="2034267"/>
          <a:ext cx="3068411" cy="680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31750</xdr:colOff>
      <xdr:row>11</xdr:row>
      <xdr:rowOff>2723</xdr:rowOff>
    </xdr:from>
    <xdr:to>
      <xdr:col>10</xdr:col>
      <xdr:colOff>2234293</xdr:colOff>
      <xdr:row>11</xdr:row>
      <xdr:rowOff>5989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E76323B4-7EED-DA23-8D16-B8D62C67EDA7}"/>
            </a:ext>
          </a:extLst>
        </xdr:cNvPr>
        <xdr:cNvCxnSpPr/>
      </xdr:nvCxnSpPr>
      <xdr:spPr>
        <a:xfrm flipV="1">
          <a:off x="9801679" y="2220687"/>
          <a:ext cx="2202543" cy="326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312966</xdr:colOff>
      <xdr:row>15</xdr:row>
      <xdr:rowOff>0</xdr:rowOff>
    </xdr:from>
    <xdr:to>
      <xdr:col>10</xdr:col>
      <xdr:colOff>2163538</xdr:colOff>
      <xdr:row>15</xdr:row>
      <xdr:rowOff>6803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59AB5293-D5F8-AE0B-9E23-48C067B25225}"/>
            </a:ext>
          </a:extLst>
        </xdr:cNvPr>
        <xdr:cNvCxnSpPr/>
      </xdr:nvCxnSpPr>
      <xdr:spPr>
        <a:xfrm flipV="1">
          <a:off x="10082895" y="3034393"/>
          <a:ext cx="1850572" cy="680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310696</xdr:colOff>
      <xdr:row>12</xdr:row>
      <xdr:rowOff>12792</xdr:rowOff>
    </xdr:from>
    <xdr:to>
      <xdr:col>11</xdr:col>
      <xdr:colOff>27213</xdr:colOff>
      <xdr:row>12</xdr:row>
      <xdr:rowOff>13607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C696A207-1178-4826-DA8C-71B6C684C30E}"/>
            </a:ext>
          </a:extLst>
        </xdr:cNvPr>
        <xdr:cNvCxnSpPr/>
      </xdr:nvCxnSpPr>
      <xdr:spPr>
        <a:xfrm>
          <a:off x="9638392" y="2441667"/>
          <a:ext cx="2553607" cy="81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350082</xdr:colOff>
      <xdr:row>12</xdr:row>
      <xdr:rowOff>36740</xdr:rowOff>
    </xdr:from>
    <xdr:to>
      <xdr:col>10</xdr:col>
      <xdr:colOff>66054</xdr:colOff>
      <xdr:row>13</xdr:row>
      <xdr:rowOff>193222</xdr:rowOff>
    </xdr:to>
    <xdr:pic>
      <xdr:nvPicPr>
        <xdr:cNvPr id="56" name="Picture 55">
          <a:extLst>
            <a:ext uri="{FF2B5EF4-FFF2-40B4-BE49-F238E27FC236}">
              <a16:creationId xmlns:a16="http://schemas.microsoft.com/office/drawing/2014/main" id="{C8F2D50F-8AA4-CB69-4799-D313C57E1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778" y="2465615"/>
          <a:ext cx="287472" cy="353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57532</xdr:colOff>
      <xdr:row>14</xdr:row>
      <xdr:rowOff>36740</xdr:rowOff>
    </xdr:from>
    <xdr:to>
      <xdr:col>10</xdr:col>
      <xdr:colOff>356512</xdr:colOff>
      <xdr:row>15</xdr:row>
      <xdr:rowOff>193222</xdr:rowOff>
    </xdr:to>
    <xdr:pic>
      <xdr:nvPicPr>
        <xdr:cNvPr id="57" name="Picture 56">
          <a:extLst>
            <a:ext uri="{FF2B5EF4-FFF2-40B4-BE49-F238E27FC236}">
              <a16:creationId xmlns:a16="http://schemas.microsoft.com/office/drawing/2014/main" id="{8579ED5D-354B-AFAC-DD84-294360E50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7461" y="2873829"/>
          <a:ext cx="298980" cy="353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38554</xdr:colOff>
      <xdr:row>7</xdr:row>
      <xdr:rowOff>9527</xdr:rowOff>
    </xdr:from>
    <xdr:to>
      <xdr:col>10</xdr:col>
      <xdr:colOff>2241097</xdr:colOff>
      <xdr:row>7</xdr:row>
      <xdr:rowOff>12793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CC74324-8807-60B0-EF40-DF2A8D4963A6}"/>
            </a:ext>
          </a:extLst>
        </xdr:cNvPr>
        <xdr:cNvCxnSpPr/>
      </xdr:nvCxnSpPr>
      <xdr:spPr>
        <a:xfrm flipV="1">
          <a:off x="9937750" y="1417866"/>
          <a:ext cx="2202543" cy="326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18143</xdr:colOff>
      <xdr:row>9</xdr:row>
      <xdr:rowOff>2723</xdr:rowOff>
    </xdr:from>
    <xdr:to>
      <xdr:col>10</xdr:col>
      <xdr:colOff>2220686</xdr:colOff>
      <xdr:row>9</xdr:row>
      <xdr:rowOff>5989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72069596-DC86-734F-9D8E-3D356F4A828F}"/>
            </a:ext>
          </a:extLst>
        </xdr:cNvPr>
        <xdr:cNvCxnSpPr/>
      </xdr:nvCxnSpPr>
      <xdr:spPr>
        <a:xfrm flipV="1">
          <a:off x="9917339" y="1812473"/>
          <a:ext cx="2202543" cy="326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11340</xdr:colOff>
      <xdr:row>13</xdr:row>
      <xdr:rowOff>2723</xdr:rowOff>
    </xdr:from>
    <xdr:to>
      <xdr:col>10</xdr:col>
      <xdr:colOff>2213883</xdr:colOff>
      <xdr:row>13</xdr:row>
      <xdr:rowOff>5989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98C593AD-68B2-0E06-5BCF-546FA9A0BB1B}"/>
            </a:ext>
          </a:extLst>
        </xdr:cNvPr>
        <xdr:cNvCxnSpPr/>
      </xdr:nvCxnSpPr>
      <xdr:spPr>
        <a:xfrm flipV="1">
          <a:off x="9910536" y="2628902"/>
          <a:ext cx="2202543" cy="326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462FC-194A-42DB-ABF6-E2A9975B12C3}">
  <dimension ref="A1:N82"/>
  <sheetViews>
    <sheetView tabSelected="1" zoomScale="140" zoomScaleNormal="140" workbookViewId="0"/>
  </sheetViews>
  <sheetFormatPr defaultColWidth="0" defaultRowHeight="15" zeroHeight="1" x14ac:dyDescent="0.25"/>
  <cols>
    <col min="1" max="1" width="57.7109375" customWidth="1"/>
    <col min="2" max="3" width="12.5703125" customWidth="1"/>
    <col min="4" max="4" width="9.140625" customWidth="1"/>
    <col min="5" max="5" width="28.85546875" customWidth="1"/>
    <col min="6" max="6" width="15.42578125" customWidth="1"/>
    <col min="7" max="7" width="5.42578125" customWidth="1"/>
    <col min="8" max="8" width="15.140625" customWidth="1"/>
    <col min="9" max="9" width="3" customWidth="1"/>
    <col min="10" max="11" width="12.5703125" customWidth="1"/>
    <col min="12" max="12" width="0.140625" customWidth="1"/>
    <col min="13" max="14" width="0" hidden="1" customWidth="1"/>
    <col min="15" max="16384" width="9.140625" hidden="1"/>
  </cols>
  <sheetData>
    <row r="1" spans="1:12" ht="15.75" thickBot="1" x14ac:dyDescent="0.3">
      <c r="A1" s="41" t="s">
        <v>66</v>
      </c>
      <c r="B1" s="26"/>
      <c r="C1" s="26"/>
      <c r="D1" s="26"/>
      <c r="E1" s="25" t="s">
        <v>70</v>
      </c>
      <c r="F1" s="42"/>
      <c r="G1" s="42"/>
      <c r="H1" s="42"/>
      <c r="I1" s="26"/>
      <c r="J1" s="26"/>
      <c r="K1" s="26"/>
    </row>
    <row r="2" spans="1:12" ht="15.75" thickBot="1" x14ac:dyDescent="0.3">
      <c r="A2" s="4" t="s">
        <v>59</v>
      </c>
      <c r="B2" s="5" t="s">
        <v>60</v>
      </c>
      <c r="C2" s="5" t="s">
        <v>61</v>
      </c>
      <c r="D2" s="26"/>
      <c r="E2" s="20" t="s">
        <v>71</v>
      </c>
      <c r="F2" s="96" t="s">
        <v>72</v>
      </c>
      <c r="G2" s="96"/>
      <c r="H2" s="96"/>
      <c r="I2" s="96"/>
      <c r="J2" s="5" t="s">
        <v>60</v>
      </c>
      <c r="K2" s="5" t="s">
        <v>61</v>
      </c>
    </row>
    <row r="3" spans="1:12" ht="15.75" thickBot="1" x14ac:dyDescent="0.3">
      <c r="A3" s="6" t="s">
        <v>0</v>
      </c>
      <c r="B3" s="9">
        <v>9842000</v>
      </c>
      <c r="C3" s="9">
        <v>10785000</v>
      </c>
      <c r="D3" s="26"/>
      <c r="E3" s="8" t="s">
        <v>32</v>
      </c>
      <c r="F3" s="97" t="s">
        <v>73</v>
      </c>
      <c r="G3" s="98"/>
      <c r="H3" s="98"/>
      <c r="I3" s="98"/>
      <c r="J3" s="47">
        <f>+B9-B20</f>
        <v>-28000</v>
      </c>
      <c r="K3" s="15">
        <f>+C9-C20</f>
        <v>23000</v>
      </c>
    </row>
    <row r="4" spans="1:12" ht="15.75" thickBot="1" x14ac:dyDescent="0.3">
      <c r="A4" s="7" t="s">
        <v>1</v>
      </c>
      <c r="B4" s="10">
        <v>94000</v>
      </c>
      <c r="C4" s="10">
        <v>66000</v>
      </c>
      <c r="D4" s="26"/>
      <c r="E4" s="26"/>
      <c r="F4" s="26"/>
      <c r="G4" s="26"/>
      <c r="H4" s="26"/>
      <c r="I4" s="26"/>
      <c r="J4" s="26"/>
      <c r="K4" s="26"/>
      <c r="L4" s="26"/>
    </row>
    <row r="5" spans="1:12" ht="15.75" thickBot="1" x14ac:dyDescent="0.3">
      <c r="A5" s="8" t="s">
        <v>2</v>
      </c>
      <c r="B5" s="11">
        <v>9936000</v>
      </c>
      <c r="C5" s="11">
        <v>10851000</v>
      </c>
      <c r="D5" s="26"/>
      <c r="E5" s="25" t="s">
        <v>74</v>
      </c>
      <c r="F5" s="43"/>
      <c r="G5" s="26"/>
      <c r="H5" s="26"/>
      <c r="I5" s="26"/>
      <c r="J5" s="44"/>
      <c r="K5" s="44"/>
      <c r="L5" s="26"/>
    </row>
    <row r="6" spans="1:12" ht="15.75" thickBot="1" x14ac:dyDescent="0.3">
      <c r="A6" s="6" t="s">
        <v>3</v>
      </c>
      <c r="B6" s="9">
        <v>285000</v>
      </c>
      <c r="C6" s="9">
        <v>370000</v>
      </c>
      <c r="D6" s="26"/>
      <c r="E6" s="17" t="s">
        <v>71</v>
      </c>
      <c r="F6" s="99" t="s">
        <v>72</v>
      </c>
      <c r="G6" s="99"/>
      <c r="H6" s="99"/>
      <c r="I6" s="99"/>
      <c r="J6" s="2" t="s">
        <v>60</v>
      </c>
      <c r="K6" s="2" t="s">
        <v>61</v>
      </c>
    </row>
    <row r="7" spans="1:12" x14ac:dyDescent="0.25">
      <c r="A7" s="6" t="s">
        <v>4</v>
      </c>
      <c r="B7" s="9">
        <v>367000</v>
      </c>
      <c r="C7" s="9">
        <v>375000</v>
      </c>
      <c r="D7" s="26"/>
      <c r="E7" s="131" t="s">
        <v>35</v>
      </c>
      <c r="F7" s="100" t="s">
        <v>6</v>
      </c>
      <c r="G7" s="101"/>
      <c r="H7" s="101"/>
      <c r="I7" s="102"/>
      <c r="J7" s="161">
        <f>+B9/B20</f>
        <v>0.96241610738255035</v>
      </c>
      <c r="K7" s="161">
        <f>+C9/C20</f>
        <v>1.0286425902864258</v>
      </c>
    </row>
    <row r="8" spans="1:12" ht="15.75" thickBot="1" x14ac:dyDescent="0.3">
      <c r="A8" s="7" t="s">
        <v>5</v>
      </c>
      <c r="B8" s="10">
        <v>65000</v>
      </c>
      <c r="C8" s="10">
        <v>81000</v>
      </c>
      <c r="D8" s="26"/>
      <c r="E8" s="132"/>
      <c r="F8" s="103" t="s">
        <v>16</v>
      </c>
      <c r="G8" s="104"/>
      <c r="H8" s="104"/>
      <c r="I8" s="105"/>
      <c r="J8" s="151"/>
      <c r="K8" s="151"/>
    </row>
    <row r="9" spans="1:12" ht="15.75" thickBot="1" x14ac:dyDescent="0.3">
      <c r="A9" s="8" t="s">
        <v>6</v>
      </c>
      <c r="B9" s="11">
        <v>717000</v>
      </c>
      <c r="C9" s="11">
        <v>826000</v>
      </c>
      <c r="D9" s="26"/>
      <c r="E9" s="131" t="s">
        <v>34</v>
      </c>
      <c r="F9" s="106" t="s">
        <v>75</v>
      </c>
      <c r="G9" s="107"/>
      <c r="H9" s="107"/>
      <c r="I9" s="108"/>
      <c r="J9" s="150">
        <f>+(B8+B7)/B20</f>
        <v>0.57986577181208054</v>
      </c>
      <c r="K9" s="150">
        <f>+(C8+C7)/C20</f>
        <v>0.56787048567870491</v>
      </c>
    </row>
    <row r="10" spans="1:12" ht="15.75" thickBot="1" x14ac:dyDescent="0.3">
      <c r="A10" s="8" t="s">
        <v>62</v>
      </c>
      <c r="B10" s="11">
        <v>10653000</v>
      </c>
      <c r="C10" s="11">
        <v>11677000</v>
      </c>
      <c r="D10" s="26"/>
      <c r="E10" s="132"/>
      <c r="F10" s="103" t="s">
        <v>16</v>
      </c>
      <c r="G10" s="104"/>
      <c r="H10" s="104"/>
      <c r="I10" s="105"/>
      <c r="J10" s="151"/>
      <c r="K10" s="151"/>
    </row>
    <row r="11" spans="1:12" x14ac:dyDescent="0.25">
      <c r="A11" s="6" t="s">
        <v>7</v>
      </c>
      <c r="B11" s="9">
        <v>1000000</v>
      </c>
      <c r="C11" s="9">
        <v>1000000</v>
      </c>
      <c r="D11" s="26"/>
      <c r="E11" s="131" t="s">
        <v>33</v>
      </c>
      <c r="F11" s="106" t="s">
        <v>76</v>
      </c>
      <c r="G11" s="107"/>
      <c r="H11" s="107"/>
      <c r="I11" s="108"/>
      <c r="J11" s="150">
        <f>+B8/B20</f>
        <v>8.7248322147651006E-2</v>
      </c>
      <c r="K11" s="150">
        <f>+C8/C20</f>
        <v>0.10087173100871731</v>
      </c>
    </row>
    <row r="12" spans="1:12" ht="15.75" thickBot="1" x14ac:dyDescent="0.3">
      <c r="A12" s="6" t="s">
        <v>8</v>
      </c>
      <c r="B12" s="9">
        <v>3958000</v>
      </c>
      <c r="C12" s="9">
        <v>4065000</v>
      </c>
      <c r="D12" s="26"/>
      <c r="E12" s="132"/>
      <c r="F12" s="124" t="s">
        <v>16</v>
      </c>
      <c r="G12" s="125"/>
      <c r="H12" s="125"/>
      <c r="I12" s="126"/>
      <c r="J12" s="151"/>
      <c r="K12" s="151"/>
    </row>
    <row r="13" spans="1:12" ht="15.75" thickBot="1" x14ac:dyDescent="0.3">
      <c r="A13" s="7" t="s">
        <v>9</v>
      </c>
      <c r="B13" s="10">
        <v>107000</v>
      </c>
      <c r="C13" s="10">
        <v>177000</v>
      </c>
      <c r="D13" s="26"/>
      <c r="E13" s="26"/>
      <c r="F13" s="26"/>
      <c r="G13" s="26"/>
      <c r="H13" s="26"/>
      <c r="I13" s="26"/>
      <c r="J13" s="26"/>
      <c r="K13" s="26"/>
      <c r="L13" s="26"/>
    </row>
    <row r="14" spans="1:12" ht="15.75" thickBot="1" x14ac:dyDescent="0.3">
      <c r="A14" s="8" t="s">
        <v>63</v>
      </c>
      <c r="B14" s="11">
        <v>5065000</v>
      </c>
      <c r="C14" s="11">
        <v>5242000</v>
      </c>
      <c r="D14" s="26"/>
      <c r="E14" s="25" t="s">
        <v>77</v>
      </c>
      <c r="F14" s="42"/>
      <c r="G14" s="42"/>
      <c r="H14" s="42"/>
      <c r="I14" s="42"/>
      <c r="J14" s="26"/>
      <c r="K14" s="25"/>
      <c r="L14" s="26"/>
    </row>
    <row r="15" spans="1:12" ht="15.75" thickBot="1" x14ac:dyDescent="0.3">
      <c r="A15" s="6" t="s">
        <v>11</v>
      </c>
      <c r="B15" s="9">
        <v>89000</v>
      </c>
      <c r="C15" s="9">
        <v>93000</v>
      </c>
      <c r="D15" s="26"/>
      <c r="E15" s="17" t="s">
        <v>71</v>
      </c>
      <c r="F15" s="99" t="s">
        <v>72</v>
      </c>
      <c r="G15" s="99"/>
      <c r="H15" s="99"/>
      <c r="I15" s="99"/>
      <c r="J15" s="99"/>
      <c r="K15" s="2" t="s">
        <v>61</v>
      </c>
    </row>
    <row r="16" spans="1:12" ht="15.75" thickBot="1" x14ac:dyDescent="0.3">
      <c r="A16" s="7" t="s">
        <v>12</v>
      </c>
      <c r="B16" s="10">
        <v>4754000</v>
      </c>
      <c r="C16" s="10">
        <v>5539000</v>
      </c>
      <c r="D16" s="26"/>
      <c r="E16" s="131" t="s">
        <v>78</v>
      </c>
      <c r="F16" s="164" t="s">
        <v>150</v>
      </c>
      <c r="G16" s="165"/>
      <c r="H16" s="165"/>
      <c r="I16" s="162" t="s">
        <v>80</v>
      </c>
      <c r="J16" s="163"/>
      <c r="K16" s="149" t="str">
        <f>+INT(AVERAGE(B6:C6)/-C29*365+0.5)&amp;" dias"</f>
        <v>102 dias</v>
      </c>
    </row>
    <row r="17" spans="1:12" ht="15.75" customHeight="1" thickBot="1" x14ac:dyDescent="0.3">
      <c r="A17" s="8" t="s">
        <v>13</v>
      </c>
      <c r="B17" s="11">
        <v>4843000</v>
      </c>
      <c r="C17" s="11">
        <v>5632000</v>
      </c>
      <c r="D17" s="26"/>
      <c r="E17" s="132"/>
      <c r="F17" s="114" t="s">
        <v>79</v>
      </c>
      <c r="G17" s="115"/>
      <c r="H17" s="115"/>
      <c r="I17" s="154"/>
      <c r="J17" s="155"/>
      <c r="K17" s="148"/>
    </row>
    <row r="18" spans="1:12" x14ac:dyDescent="0.25">
      <c r="A18" s="6" t="s">
        <v>14</v>
      </c>
      <c r="B18" s="9">
        <v>552000</v>
      </c>
      <c r="C18" s="9">
        <v>567000</v>
      </c>
      <c r="D18" s="26"/>
      <c r="E18" s="131" t="s">
        <v>81</v>
      </c>
      <c r="F18" s="106" t="s">
        <v>149</v>
      </c>
      <c r="G18" s="107"/>
      <c r="H18" s="107"/>
      <c r="I18" s="152" t="s">
        <v>80</v>
      </c>
      <c r="J18" s="153"/>
      <c r="K18" s="147" t="str">
        <f>+INT(AVERAGE(B18:C18)/(-C29-B6+C6-C30)*365+0.5)&amp;" dias"</f>
        <v>128 dias</v>
      </c>
    </row>
    <row r="19" spans="1:12" ht="15.75" thickBot="1" x14ac:dyDescent="0.3">
      <c r="A19" s="7" t="s">
        <v>15</v>
      </c>
      <c r="B19" s="10">
        <v>193000</v>
      </c>
      <c r="C19" s="10">
        <v>236000</v>
      </c>
      <c r="D19" s="26"/>
      <c r="E19" s="132"/>
      <c r="F19" s="114" t="s">
        <v>82</v>
      </c>
      <c r="G19" s="115"/>
      <c r="H19" s="115"/>
      <c r="I19" s="154"/>
      <c r="J19" s="155"/>
      <c r="K19" s="148"/>
    </row>
    <row r="20" spans="1:12" ht="15.75" customHeight="1" thickBot="1" x14ac:dyDescent="0.3">
      <c r="A20" s="8" t="s">
        <v>16</v>
      </c>
      <c r="B20" s="11">
        <v>745000</v>
      </c>
      <c r="C20" s="11">
        <v>803000</v>
      </c>
      <c r="D20" s="26"/>
      <c r="E20" s="131" t="s">
        <v>83</v>
      </c>
      <c r="F20" s="106" t="s">
        <v>151</v>
      </c>
      <c r="G20" s="107"/>
      <c r="H20" s="107"/>
      <c r="I20" s="152" t="s">
        <v>80</v>
      </c>
      <c r="J20" s="153"/>
      <c r="K20" s="147" t="str">
        <f>+INT(AVERAGE(B7:C7)/C28*365+0.5)&amp;" dias"</f>
        <v>45 dias</v>
      </c>
    </row>
    <row r="21" spans="1:12" ht="15.75" customHeight="1" thickBot="1" x14ac:dyDescent="0.3">
      <c r="A21" s="8" t="s">
        <v>64</v>
      </c>
      <c r="B21" s="11">
        <v>5588000</v>
      </c>
      <c r="C21" s="11">
        <v>6435000</v>
      </c>
      <c r="D21" s="26"/>
      <c r="E21" s="132"/>
      <c r="F21" s="114" t="s">
        <v>84</v>
      </c>
      <c r="G21" s="115"/>
      <c r="H21" s="115"/>
      <c r="I21" s="154"/>
      <c r="J21" s="155"/>
      <c r="K21" s="148"/>
    </row>
    <row r="22" spans="1:12" ht="15.75" thickBot="1" x14ac:dyDescent="0.3">
      <c r="A22" s="8" t="s">
        <v>65</v>
      </c>
      <c r="B22" s="11">
        <v>10653000</v>
      </c>
      <c r="C22" s="11">
        <v>11677000</v>
      </c>
      <c r="D22" s="26"/>
      <c r="E22" s="26"/>
      <c r="F22" s="26"/>
      <c r="G22" s="26"/>
      <c r="H22" s="26"/>
      <c r="I22" s="26"/>
      <c r="J22" s="26"/>
      <c r="K22" s="26"/>
      <c r="L22" s="26"/>
    </row>
    <row r="23" spans="1:12" ht="15.75" thickBot="1" x14ac:dyDescent="0.3">
      <c r="A23" s="26"/>
      <c r="B23" s="26"/>
      <c r="C23" s="26"/>
      <c r="D23" s="26"/>
      <c r="E23" s="25" t="s">
        <v>85</v>
      </c>
      <c r="F23" s="42"/>
      <c r="G23" s="42"/>
      <c r="H23" s="26"/>
      <c r="I23" s="26"/>
      <c r="J23" s="26"/>
      <c r="K23" s="26"/>
      <c r="L23" s="26"/>
    </row>
    <row r="24" spans="1:12" ht="15.75" thickBot="1" x14ac:dyDescent="0.3">
      <c r="A24" s="25" t="s">
        <v>67</v>
      </c>
      <c r="B24" s="25"/>
      <c r="C24" s="25"/>
      <c r="D24" s="26"/>
      <c r="E24" s="17" t="s">
        <v>71</v>
      </c>
      <c r="F24" s="99" t="s">
        <v>72</v>
      </c>
      <c r="G24" s="99"/>
      <c r="H24" s="99"/>
      <c r="I24" s="99"/>
      <c r="J24" s="99"/>
      <c r="K24" s="2" t="s">
        <v>61</v>
      </c>
    </row>
    <row r="25" spans="1:12" ht="15.75" thickBot="1" x14ac:dyDescent="0.3">
      <c r="A25" s="4" t="s">
        <v>59</v>
      </c>
      <c r="B25" s="5" t="s">
        <v>60</v>
      </c>
      <c r="C25" s="5" t="s">
        <v>61</v>
      </c>
      <c r="D25" s="26"/>
      <c r="E25" s="16" t="s">
        <v>86</v>
      </c>
      <c r="F25" s="116" t="s">
        <v>87</v>
      </c>
      <c r="G25" s="117"/>
      <c r="H25" s="117"/>
      <c r="I25" s="117"/>
      <c r="J25" s="117"/>
      <c r="K25" s="46" t="str">
        <f>INT(AVERAGE(B6:C6)/-C29*365+0.5)+INT(AVERAGE(B7:C7)/C28*365+0.5)&amp;" dias"</f>
        <v>147 dias</v>
      </c>
    </row>
    <row r="26" spans="1:12" ht="15.75" customHeight="1" thickBot="1" x14ac:dyDescent="0.3">
      <c r="A26" s="6" t="s">
        <v>17</v>
      </c>
      <c r="B26" s="12">
        <v>2249000</v>
      </c>
      <c r="C26" s="12">
        <v>2488000</v>
      </c>
      <c r="D26" s="26"/>
      <c r="E26" s="156" t="s">
        <v>88</v>
      </c>
      <c r="F26" s="157" t="s">
        <v>148</v>
      </c>
      <c r="G26" s="158"/>
      <c r="H26" s="158"/>
      <c r="I26" s="158"/>
      <c r="J26" s="158"/>
      <c r="K26" s="147" t="str">
        <f>INT(AVERAGE(B6:C6)/-C29*365+0.5)+INT(AVERAGE(B7:C7)/C28*365+0.5)-INT(AVERAGE(B18:C18)/(-C29-B6+C6-C30)*365+0.5)&amp;" dias"</f>
        <v>19 dias</v>
      </c>
    </row>
    <row r="27" spans="1:12" ht="15.75" thickBot="1" x14ac:dyDescent="0.3">
      <c r="A27" s="7" t="s">
        <v>18</v>
      </c>
      <c r="B27" s="13">
        <v>475000</v>
      </c>
      <c r="C27" s="13">
        <v>526000</v>
      </c>
      <c r="D27" s="26"/>
      <c r="E27" s="156"/>
      <c r="F27" s="159"/>
      <c r="G27" s="160"/>
      <c r="H27" s="160"/>
      <c r="I27" s="160"/>
      <c r="J27" s="160"/>
      <c r="K27" s="148"/>
    </row>
    <row r="28" spans="1:12" ht="15.75" thickBot="1" x14ac:dyDescent="0.3">
      <c r="A28" s="8" t="s">
        <v>19</v>
      </c>
      <c r="B28" s="14">
        <v>2724000</v>
      </c>
      <c r="C28" s="14">
        <v>3014000</v>
      </c>
      <c r="D28" s="26"/>
      <c r="E28" s="26"/>
      <c r="F28" s="45"/>
      <c r="G28" s="45"/>
      <c r="H28" s="45"/>
      <c r="I28" s="45"/>
      <c r="J28" s="45"/>
      <c r="K28" s="26"/>
      <c r="L28" s="26"/>
    </row>
    <row r="29" spans="1:12" ht="15.75" thickBot="1" x14ac:dyDescent="0.3">
      <c r="A29" s="6" t="s">
        <v>68</v>
      </c>
      <c r="B29" s="12">
        <v>-1046000</v>
      </c>
      <c r="C29" s="12">
        <v>-1171000</v>
      </c>
      <c r="D29" s="26"/>
      <c r="E29" s="25" t="s">
        <v>89</v>
      </c>
      <c r="F29" s="42"/>
      <c r="G29" s="42"/>
      <c r="H29" s="26"/>
      <c r="I29" s="26"/>
      <c r="J29" s="26"/>
      <c r="K29" s="26"/>
      <c r="L29" s="26"/>
    </row>
    <row r="30" spans="1:12" ht="15.75" thickBot="1" x14ac:dyDescent="0.3">
      <c r="A30" s="7" t="s">
        <v>20</v>
      </c>
      <c r="B30" s="13">
        <v>-417000</v>
      </c>
      <c r="C30" s="13">
        <v>-345000</v>
      </c>
      <c r="D30" s="26"/>
      <c r="E30" s="17" t="s">
        <v>71</v>
      </c>
      <c r="F30" s="99" t="s">
        <v>72</v>
      </c>
      <c r="G30" s="99"/>
      <c r="H30" s="99"/>
      <c r="I30" s="99"/>
      <c r="J30" s="99"/>
      <c r="K30" s="2" t="s">
        <v>61</v>
      </c>
    </row>
    <row r="31" spans="1:12" ht="15.75" thickBot="1" x14ac:dyDescent="0.3">
      <c r="A31" s="8" t="s">
        <v>21</v>
      </c>
      <c r="B31" s="14">
        <v>1261000</v>
      </c>
      <c r="C31" s="14">
        <v>1498000</v>
      </c>
      <c r="D31" s="26"/>
      <c r="E31" s="131" t="s">
        <v>36</v>
      </c>
      <c r="F31" s="100" t="s">
        <v>79</v>
      </c>
      <c r="G31" s="101"/>
      <c r="H31" s="101"/>
      <c r="I31" s="101"/>
      <c r="J31" s="102"/>
      <c r="K31" s="146">
        <f>-C29/AVERAGE(B6:C6)</f>
        <v>3.5755725190839693</v>
      </c>
    </row>
    <row r="32" spans="1:12" ht="15.75" thickBot="1" x14ac:dyDescent="0.3">
      <c r="A32" s="6" t="s">
        <v>22</v>
      </c>
      <c r="B32" s="12">
        <v>-139000</v>
      </c>
      <c r="C32" s="12">
        <v>-158000</v>
      </c>
      <c r="D32" s="26"/>
      <c r="E32" s="132"/>
      <c r="F32" s="103" t="s">
        <v>90</v>
      </c>
      <c r="G32" s="104"/>
      <c r="H32" s="104"/>
      <c r="I32" s="104"/>
      <c r="J32" s="105"/>
      <c r="K32" s="113"/>
    </row>
    <row r="33" spans="1:12" x14ac:dyDescent="0.25">
      <c r="A33" s="6" t="s">
        <v>23</v>
      </c>
      <c r="B33" s="12">
        <v>8000</v>
      </c>
      <c r="C33" s="12">
        <v>7000</v>
      </c>
      <c r="D33" s="26"/>
      <c r="E33" s="131" t="s">
        <v>37</v>
      </c>
      <c r="F33" s="106" t="s">
        <v>84</v>
      </c>
      <c r="G33" s="107"/>
      <c r="H33" s="107"/>
      <c r="I33" s="107"/>
      <c r="J33" s="108"/>
      <c r="K33" s="112">
        <f>+C28/AVERAGE(B9:C9)</f>
        <v>3.9066753078418666</v>
      </c>
    </row>
    <row r="34" spans="1:12" ht="15.75" thickBot="1" x14ac:dyDescent="0.3">
      <c r="A34" s="7" t="s">
        <v>24</v>
      </c>
      <c r="B34" s="13">
        <v>-5000</v>
      </c>
      <c r="C34" s="13">
        <v>-8000</v>
      </c>
      <c r="D34" s="26"/>
      <c r="E34" s="132"/>
      <c r="F34" s="124" t="s">
        <v>91</v>
      </c>
      <c r="G34" s="125"/>
      <c r="H34" s="125"/>
      <c r="I34" s="125"/>
      <c r="J34" s="126"/>
      <c r="K34" s="113"/>
    </row>
    <row r="35" spans="1:12" ht="15.75" thickBot="1" x14ac:dyDescent="0.3">
      <c r="A35" s="8" t="s">
        <v>25</v>
      </c>
      <c r="B35" s="14">
        <v>1125000</v>
      </c>
      <c r="C35" s="14">
        <v>1339000</v>
      </c>
      <c r="D35" s="26"/>
      <c r="E35" s="26"/>
      <c r="F35" s="26"/>
      <c r="G35" s="26"/>
      <c r="H35" s="26"/>
      <c r="I35" s="26"/>
      <c r="J35" s="26"/>
      <c r="K35" s="26"/>
      <c r="L35" s="26"/>
    </row>
    <row r="36" spans="1:12" ht="15.75" thickBot="1" x14ac:dyDescent="0.3">
      <c r="A36" s="7" t="s">
        <v>26</v>
      </c>
      <c r="B36" s="13">
        <v>-857000</v>
      </c>
      <c r="C36" s="13">
        <v>-923000</v>
      </c>
      <c r="D36" s="26"/>
      <c r="E36" s="25" t="s">
        <v>92</v>
      </c>
      <c r="F36" s="42"/>
      <c r="G36" s="42"/>
      <c r="H36" s="42"/>
      <c r="I36" s="26"/>
      <c r="J36" s="26"/>
      <c r="K36" s="26"/>
      <c r="L36" s="26"/>
    </row>
    <row r="37" spans="1:12" ht="15.75" thickBot="1" x14ac:dyDescent="0.3">
      <c r="A37" s="8" t="s">
        <v>27</v>
      </c>
      <c r="B37" s="14">
        <v>268000</v>
      </c>
      <c r="C37" s="14">
        <v>416000</v>
      </c>
      <c r="D37" s="26"/>
      <c r="E37" s="17" t="s">
        <v>71</v>
      </c>
      <c r="F37" s="99" t="s">
        <v>72</v>
      </c>
      <c r="G37" s="99"/>
      <c r="H37" s="99"/>
      <c r="I37" s="99"/>
      <c r="J37" s="2" t="s">
        <v>60</v>
      </c>
      <c r="K37" s="2" t="s">
        <v>61</v>
      </c>
    </row>
    <row r="38" spans="1:12" ht="15.75" thickBot="1" x14ac:dyDescent="0.3">
      <c r="A38" s="6" t="s">
        <v>28</v>
      </c>
      <c r="B38" s="12">
        <v>15000</v>
      </c>
      <c r="C38" s="12">
        <v>13000</v>
      </c>
      <c r="D38" s="26"/>
      <c r="E38" s="3" t="s">
        <v>38</v>
      </c>
      <c r="F38" s="116" t="s">
        <v>93</v>
      </c>
      <c r="G38" s="117"/>
      <c r="H38" s="117"/>
      <c r="I38" s="117"/>
      <c r="J38" s="49">
        <f>+B42</f>
        <v>107000</v>
      </c>
      <c r="K38" s="49">
        <f>+C42</f>
        <v>177000</v>
      </c>
    </row>
    <row r="39" spans="1:12" ht="15.75" thickBot="1" x14ac:dyDescent="0.3">
      <c r="A39" s="7" t="s">
        <v>29</v>
      </c>
      <c r="B39" s="13">
        <v>-126000</v>
      </c>
      <c r="C39" s="13">
        <v>-170000</v>
      </c>
      <c r="D39" s="26"/>
      <c r="E39" s="131" t="s">
        <v>39</v>
      </c>
      <c r="F39" s="106" t="s">
        <v>38</v>
      </c>
      <c r="G39" s="107"/>
      <c r="H39" s="107"/>
      <c r="I39" s="108"/>
      <c r="J39" s="122">
        <f>+B42/B14</f>
        <v>2.1125370187561696E-2</v>
      </c>
      <c r="K39" s="122">
        <f>+C42/C14</f>
        <v>3.3765738267836701E-2</v>
      </c>
    </row>
    <row r="40" spans="1:12" ht="15.75" thickBot="1" x14ac:dyDescent="0.3">
      <c r="A40" s="8" t="s">
        <v>30</v>
      </c>
      <c r="B40" s="14">
        <v>157000</v>
      </c>
      <c r="C40" s="14">
        <v>259000</v>
      </c>
      <c r="D40" s="26"/>
      <c r="E40" s="132"/>
      <c r="F40" s="124" t="s">
        <v>10</v>
      </c>
      <c r="G40" s="125"/>
      <c r="H40" s="125"/>
      <c r="I40" s="126"/>
      <c r="J40" s="123"/>
      <c r="K40" s="123"/>
    </row>
    <row r="41" spans="1:12" ht="15.75" thickBot="1" x14ac:dyDescent="0.3">
      <c r="A41" s="7" t="s">
        <v>31</v>
      </c>
      <c r="B41" s="13">
        <v>-50000</v>
      </c>
      <c r="C41" s="13">
        <v>-82000</v>
      </c>
      <c r="D41" s="26"/>
      <c r="E41" s="26"/>
      <c r="F41" s="26"/>
      <c r="G41" s="26"/>
      <c r="H41" s="26"/>
      <c r="I41" s="26"/>
      <c r="J41" s="26"/>
      <c r="K41" s="26"/>
      <c r="L41" s="26"/>
    </row>
    <row r="42" spans="1:12" ht="15.75" thickBot="1" x14ac:dyDescent="0.3">
      <c r="A42" s="8" t="s">
        <v>69</v>
      </c>
      <c r="B42" s="14">
        <v>107000</v>
      </c>
      <c r="C42" s="14">
        <v>177000</v>
      </c>
      <c r="D42" s="26"/>
      <c r="E42" s="25" t="s">
        <v>94</v>
      </c>
      <c r="F42" s="42"/>
      <c r="G42" s="42"/>
      <c r="H42" s="42"/>
      <c r="I42" s="26"/>
      <c r="J42" s="26"/>
      <c r="K42" s="26"/>
      <c r="L42" s="26"/>
    </row>
    <row r="43" spans="1:12" ht="15.75" thickBot="1" x14ac:dyDescent="0.3">
      <c r="A43" s="26"/>
      <c r="B43" s="26"/>
      <c r="C43" s="26"/>
      <c r="D43" s="26"/>
      <c r="E43" s="17" t="s">
        <v>71</v>
      </c>
      <c r="F43" s="99" t="s">
        <v>72</v>
      </c>
      <c r="G43" s="99"/>
      <c r="H43" s="99"/>
      <c r="I43" s="99"/>
      <c r="J43" s="2" t="s">
        <v>60</v>
      </c>
      <c r="K43" s="2" t="s">
        <v>61</v>
      </c>
    </row>
    <row r="44" spans="1:12" x14ac:dyDescent="0.25">
      <c r="A44" s="26"/>
      <c r="B44" s="26"/>
      <c r="C44" s="26"/>
      <c r="D44" s="26"/>
      <c r="E44" s="131" t="s">
        <v>40</v>
      </c>
      <c r="F44" s="100" t="s">
        <v>38</v>
      </c>
      <c r="G44" s="101"/>
      <c r="H44" s="101"/>
      <c r="I44" s="102"/>
      <c r="J44" s="143">
        <f>+B42/B10</f>
        <v>1.0044119027503989E-2</v>
      </c>
      <c r="K44" s="143">
        <f>+C42/C10</f>
        <v>1.5158002911706775E-2</v>
      </c>
    </row>
    <row r="45" spans="1:12" ht="15.75" thickBot="1" x14ac:dyDescent="0.3">
      <c r="A45" s="26"/>
      <c r="B45" s="26"/>
      <c r="C45" s="26"/>
      <c r="D45" s="26"/>
      <c r="E45" s="132"/>
      <c r="F45" s="103" t="s">
        <v>95</v>
      </c>
      <c r="G45" s="104"/>
      <c r="H45" s="104"/>
      <c r="I45" s="105"/>
      <c r="J45" s="123"/>
      <c r="K45" s="123"/>
    </row>
    <row r="46" spans="1:12" x14ac:dyDescent="0.25">
      <c r="A46" s="26"/>
      <c r="B46" s="26"/>
      <c r="C46" s="26"/>
      <c r="D46" s="26"/>
      <c r="E46" s="144" t="s">
        <v>42</v>
      </c>
      <c r="F46" s="106" t="s">
        <v>38</v>
      </c>
      <c r="G46" s="107"/>
      <c r="H46" s="107"/>
      <c r="I46" s="108"/>
      <c r="J46" s="122">
        <f>+B42/B28</f>
        <v>3.9280469897209985E-2</v>
      </c>
      <c r="K46" s="122">
        <f>+C42/C28</f>
        <v>5.8725945587259458E-2</v>
      </c>
    </row>
    <row r="47" spans="1:12" ht="15.75" thickBot="1" x14ac:dyDescent="0.3">
      <c r="A47" s="26"/>
      <c r="B47" s="26"/>
      <c r="C47" s="26"/>
      <c r="D47" s="26"/>
      <c r="E47" s="145"/>
      <c r="F47" s="124" t="s">
        <v>84</v>
      </c>
      <c r="G47" s="125"/>
      <c r="H47" s="125"/>
      <c r="I47" s="126"/>
      <c r="J47" s="123"/>
      <c r="K47" s="123"/>
    </row>
    <row r="48" spans="1:12" x14ac:dyDescent="0.25">
      <c r="A48" s="26"/>
      <c r="B48" s="26"/>
      <c r="C48" s="26"/>
      <c r="D48" s="26"/>
      <c r="E48" s="120" t="s">
        <v>43</v>
      </c>
      <c r="F48" s="100" t="s">
        <v>38</v>
      </c>
      <c r="G48" s="101"/>
      <c r="H48" s="101"/>
      <c r="I48" s="102"/>
      <c r="J48" s="141">
        <f>+B42/B40</f>
        <v>0.68152866242038213</v>
      </c>
      <c r="K48" s="141">
        <f>+C42/C40</f>
        <v>0.68339768339768336</v>
      </c>
    </row>
    <row r="49" spans="1:12" ht="15.75" thickBot="1" x14ac:dyDescent="0.3">
      <c r="A49" s="26"/>
      <c r="B49" s="26"/>
      <c r="C49" s="26"/>
      <c r="D49" s="26"/>
      <c r="E49" s="121"/>
      <c r="F49" s="103" t="s">
        <v>30</v>
      </c>
      <c r="G49" s="104"/>
      <c r="H49" s="104"/>
      <c r="I49" s="105"/>
      <c r="J49" s="142"/>
      <c r="K49" s="142"/>
    </row>
    <row r="50" spans="1:12" x14ac:dyDescent="0.25">
      <c r="A50" s="26"/>
      <c r="B50" s="26"/>
      <c r="C50" s="26"/>
      <c r="D50" s="26"/>
      <c r="E50" s="120" t="s">
        <v>44</v>
      </c>
      <c r="F50" s="106" t="s">
        <v>30</v>
      </c>
      <c r="G50" s="107"/>
      <c r="H50" s="107"/>
      <c r="I50" s="108"/>
      <c r="J50" s="141">
        <f>+B40/B37</f>
        <v>0.58582089552238803</v>
      </c>
      <c r="K50" s="141">
        <f>+C40/C37</f>
        <v>0.62259615384615385</v>
      </c>
    </row>
    <row r="51" spans="1:12" ht="15.75" thickBot="1" x14ac:dyDescent="0.3">
      <c r="A51" s="26"/>
      <c r="B51" s="26"/>
      <c r="C51" s="26"/>
      <c r="D51" s="26"/>
      <c r="E51" s="121"/>
      <c r="F51" s="124" t="s">
        <v>27</v>
      </c>
      <c r="G51" s="125"/>
      <c r="H51" s="125"/>
      <c r="I51" s="126"/>
      <c r="J51" s="142"/>
      <c r="K51" s="142"/>
    </row>
    <row r="52" spans="1:12" x14ac:dyDescent="0.25">
      <c r="A52" s="26"/>
      <c r="B52" s="26"/>
      <c r="C52" s="26"/>
      <c r="D52" s="26"/>
      <c r="E52" s="120" t="s">
        <v>96</v>
      </c>
      <c r="F52" s="100" t="s">
        <v>27</v>
      </c>
      <c r="G52" s="101"/>
      <c r="H52" s="101"/>
      <c r="I52" s="102"/>
      <c r="J52" s="122">
        <f>+B37/B28</f>
        <v>9.8384728340675479E-2</v>
      </c>
      <c r="K52" s="122">
        <f>+C37/C28</f>
        <v>0.13802256138022562</v>
      </c>
    </row>
    <row r="53" spans="1:12" ht="15.75" thickBot="1" x14ac:dyDescent="0.3">
      <c r="A53" s="26"/>
      <c r="B53" s="26"/>
      <c r="C53" s="26"/>
      <c r="D53" s="26"/>
      <c r="E53" s="121"/>
      <c r="F53" s="124" t="s">
        <v>84</v>
      </c>
      <c r="G53" s="125"/>
      <c r="H53" s="125"/>
      <c r="I53" s="126"/>
      <c r="J53" s="123"/>
      <c r="K53" s="123"/>
    </row>
    <row r="54" spans="1:12" x14ac:dyDescent="0.25">
      <c r="A54" s="26"/>
      <c r="B54" s="26"/>
      <c r="C54" s="26"/>
      <c r="D54" s="26"/>
      <c r="E54" s="144" t="s">
        <v>41</v>
      </c>
      <c r="F54" s="106" t="s">
        <v>84</v>
      </c>
      <c r="G54" s="107"/>
      <c r="H54" s="107"/>
      <c r="I54" s="108"/>
      <c r="J54" s="141">
        <f>+B28/B10</f>
        <v>0.25570261898056884</v>
      </c>
      <c r="K54" s="141">
        <f>+C28/C10</f>
        <v>0.25811424167166225</v>
      </c>
    </row>
    <row r="55" spans="1:12" ht="15.75" thickBot="1" x14ac:dyDescent="0.3">
      <c r="A55" s="26"/>
      <c r="B55" s="26"/>
      <c r="C55" s="26"/>
      <c r="D55" s="26"/>
      <c r="E55" s="145"/>
      <c r="F55" s="103" t="s">
        <v>95</v>
      </c>
      <c r="G55" s="104"/>
      <c r="H55" s="104"/>
      <c r="I55" s="105"/>
      <c r="J55" s="142"/>
      <c r="K55" s="142"/>
    </row>
    <row r="56" spans="1:12" x14ac:dyDescent="0.25">
      <c r="A56" s="26"/>
      <c r="B56" s="26"/>
      <c r="C56" s="26"/>
      <c r="D56" s="26"/>
      <c r="E56" s="131" t="s">
        <v>45</v>
      </c>
      <c r="F56" s="133" t="s">
        <v>95</v>
      </c>
      <c r="G56" s="134"/>
      <c r="H56" s="134"/>
      <c r="I56" s="135"/>
      <c r="J56" s="112">
        <f>+B10/B14</f>
        <v>2.1032576505429419</v>
      </c>
      <c r="K56" s="112">
        <f>+C10/C14</f>
        <v>2.2275848912628766</v>
      </c>
    </row>
    <row r="57" spans="1:12" ht="15.75" thickBot="1" x14ac:dyDescent="0.3">
      <c r="A57" s="26"/>
      <c r="B57" s="26"/>
      <c r="C57" s="26"/>
      <c r="D57" s="26"/>
      <c r="E57" s="132"/>
      <c r="F57" s="124" t="s">
        <v>10</v>
      </c>
      <c r="G57" s="125"/>
      <c r="H57" s="125"/>
      <c r="I57" s="126"/>
      <c r="J57" s="113"/>
      <c r="K57" s="113"/>
    </row>
    <row r="58" spans="1:12" x14ac:dyDescent="0.2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</row>
    <row r="59" spans="1:12" ht="15.75" thickBot="1" x14ac:dyDescent="0.3">
      <c r="A59" s="26"/>
      <c r="B59" s="26"/>
      <c r="C59" s="26"/>
      <c r="D59" s="26"/>
      <c r="E59" s="25" t="s">
        <v>97</v>
      </c>
      <c r="F59" s="42"/>
      <c r="G59" s="42"/>
      <c r="H59" s="42"/>
      <c r="I59" s="26"/>
      <c r="J59" s="26"/>
      <c r="K59" s="26"/>
      <c r="L59" s="26"/>
    </row>
    <row r="60" spans="1:12" ht="15.75" thickBot="1" x14ac:dyDescent="0.3">
      <c r="A60" s="26"/>
      <c r="B60" s="26"/>
      <c r="C60" s="26"/>
      <c r="D60" s="26"/>
      <c r="E60" s="17" t="s">
        <v>71</v>
      </c>
      <c r="F60" s="99" t="s">
        <v>72</v>
      </c>
      <c r="G60" s="99"/>
      <c r="H60" s="99"/>
      <c r="I60" s="99"/>
      <c r="J60" s="2" t="s">
        <v>60</v>
      </c>
      <c r="K60" s="2" t="s">
        <v>61</v>
      </c>
    </row>
    <row r="61" spans="1:12" ht="15.75" thickBot="1" x14ac:dyDescent="0.3">
      <c r="A61" s="26"/>
      <c r="B61" s="26"/>
      <c r="C61" s="26"/>
      <c r="D61" s="26"/>
      <c r="E61" s="3" t="s">
        <v>98</v>
      </c>
      <c r="F61" s="118" t="s">
        <v>99</v>
      </c>
      <c r="G61" s="119"/>
      <c r="H61" s="119"/>
      <c r="I61" s="119"/>
      <c r="J61" s="49">
        <f>+(B42-B41-B39-B38)*(1-$F62)-B14*$F63-B16*$F64</f>
        <v>-212290</v>
      </c>
      <c r="K61" s="49">
        <f>+(C42-C41-C39-C38)*(1-$F62)-C14*$F63-C16*$F64</f>
        <v>-143310</v>
      </c>
    </row>
    <row r="62" spans="1:12" x14ac:dyDescent="0.25">
      <c r="A62" s="26"/>
      <c r="B62" s="26"/>
      <c r="C62" s="26"/>
      <c r="D62" s="26"/>
      <c r="E62" s="27" t="s">
        <v>153</v>
      </c>
      <c r="F62" s="51">
        <v>0.315</v>
      </c>
      <c r="G62" s="26"/>
      <c r="H62" s="26"/>
      <c r="I62" s="26"/>
      <c r="J62" s="26"/>
      <c r="K62" s="26"/>
    </row>
    <row r="63" spans="1:12" x14ac:dyDescent="0.25">
      <c r="A63" s="26"/>
      <c r="B63" s="26"/>
      <c r="C63" s="26"/>
      <c r="D63" s="26"/>
      <c r="E63" s="27" t="s">
        <v>154</v>
      </c>
      <c r="F63" s="29">
        <v>0.05</v>
      </c>
      <c r="G63" s="26"/>
      <c r="H63" s="26"/>
      <c r="I63" s="26"/>
      <c r="J63" s="26"/>
      <c r="K63" s="26"/>
      <c r="L63" s="26"/>
    </row>
    <row r="64" spans="1:12" x14ac:dyDescent="0.25">
      <c r="A64" s="26"/>
      <c r="B64" s="26"/>
      <c r="C64" s="26"/>
      <c r="D64" s="26"/>
      <c r="E64" s="27" t="s">
        <v>155</v>
      </c>
      <c r="F64" s="29">
        <v>0.03</v>
      </c>
      <c r="G64" s="26"/>
      <c r="H64" s="26"/>
      <c r="I64" s="26"/>
      <c r="J64" s="26"/>
      <c r="K64" s="26"/>
      <c r="L64" s="26"/>
    </row>
    <row r="65" spans="1:12" x14ac:dyDescent="0.25">
      <c r="A65" s="26"/>
      <c r="B65" s="26"/>
      <c r="C65" s="26"/>
      <c r="D65" s="26"/>
      <c r="E65" s="27" t="s">
        <v>156</v>
      </c>
      <c r="F65" s="26"/>
      <c r="G65" s="26"/>
      <c r="H65" s="26"/>
      <c r="I65" s="26"/>
      <c r="J65" s="26"/>
      <c r="K65" s="26"/>
      <c r="L65" s="26"/>
    </row>
    <row r="66" spans="1:12" x14ac:dyDescent="0.2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</row>
    <row r="67" spans="1:12" ht="15.75" thickBot="1" x14ac:dyDescent="0.3">
      <c r="A67" s="26"/>
      <c r="B67" s="26"/>
      <c r="C67" s="26"/>
      <c r="D67" s="26"/>
      <c r="E67" s="25" t="s">
        <v>139</v>
      </c>
      <c r="F67" s="42"/>
      <c r="G67" s="42"/>
      <c r="H67" s="42"/>
      <c r="I67" s="26"/>
      <c r="J67" s="26"/>
      <c r="K67" s="26"/>
      <c r="L67" s="26"/>
    </row>
    <row r="68" spans="1:12" ht="15.75" thickBot="1" x14ac:dyDescent="0.3">
      <c r="A68" s="26"/>
      <c r="B68" s="26"/>
      <c r="C68" s="26"/>
      <c r="D68" s="26"/>
      <c r="E68" s="20" t="s">
        <v>71</v>
      </c>
      <c r="F68" s="96" t="s">
        <v>72</v>
      </c>
      <c r="G68" s="96"/>
      <c r="H68" s="96"/>
      <c r="I68" s="96"/>
      <c r="J68" s="5" t="s">
        <v>60</v>
      </c>
      <c r="K68" s="5" t="s">
        <v>61</v>
      </c>
    </row>
    <row r="69" spans="1:12" x14ac:dyDescent="0.25">
      <c r="A69" s="26"/>
      <c r="B69" s="26"/>
      <c r="C69" s="26"/>
      <c r="D69" s="26"/>
      <c r="E69" s="93" t="s">
        <v>57</v>
      </c>
      <c r="F69" s="136" t="s">
        <v>10</v>
      </c>
      <c r="G69" s="137"/>
      <c r="H69" s="137"/>
      <c r="I69" s="138"/>
      <c r="J69" s="85">
        <f>+B14/B10</f>
        <v>0.47545292405895051</v>
      </c>
      <c r="K69" s="85">
        <f>+C14/C10</f>
        <v>0.44891667380320288</v>
      </c>
    </row>
    <row r="70" spans="1:12" ht="15.75" thickBot="1" x14ac:dyDescent="0.3">
      <c r="A70" s="26"/>
      <c r="B70" s="26"/>
      <c r="C70" s="26"/>
      <c r="D70" s="26"/>
      <c r="E70" s="94"/>
      <c r="F70" s="87" t="s">
        <v>95</v>
      </c>
      <c r="G70" s="88"/>
      <c r="H70" s="88"/>
      <c r="I70" s="89"/>
      <c r="J70" s="86"/>
      <c r="K70" s="86"/>
    </row>
    <row r="71" spans="1:12" x14ac:dyDescent="0.25">
      <c r="A71" s="26"/>
      <c r="B71" s="26"/>
      <c r="C71" s="26"/>
      <c r="D71" s="26"/>
      <c r="E71" s="93" t="s">
        <v>58</v>
      </c>
      <c r="F71" s="90" t="s">
        <v>140</v>
      </c>
      <c r="G71" s="91"/>
      <c r="H71" s="91"/>
      <c r="I71" s="92"/>
      <c r="J71" s="95">
        <f>B21/+B10</f>
        <v>0.52454707594104943</v>
      </c>
      <c r="K71" s="95">
        <f>C21/+C10</f>
        <v>0.55108332619679712</v>
      </c>
    </row>
    <row r="72" spans="1:12" ht="15.75" thickBot="1" x14ac:dyDescent="0.3">
      <c r="A72" s="26"/>
      <c r="B72" s="26"/>
      <c r="C72" s="26"/>
      <c r="D72" s="26"/>
      <c r="E72" s="94"/>
      <c r="F72" s="87" t="s">
        <v>95</v>
      </c>
      <c r="G72" s="88"/>
      <c r="H72" s="88"/>
      <c r="I72" s="89"/>
      <c r="J72" s="86"/>
      <c r="K72" s="86"/>
    </row>
    <row r="73" spans="1:12" x14ac:dyDescent="0.25">
      <c r="A73" s="26"/>
      <c r="B73" s="26"/>
      <c r="C73" s="26"/>
      <c r="D73" s="26"/>
      <c r="E73" s="93" t="s">
        <v>141</v>
      </c>
      <c r="F73" s="90" t="s">
        <v>16</v>
      </c>
      <c r="G73" s="91"/>
      <c r="H73" s="91"/>
      <c r="I73" s="92"/>
      <c r="J73" s="95">
        <f>+B20/B17</f>
        <v>0.15383027049349576</v>
      </c>
      <c r="K73" s="95">
        <f>+C20/C17</f>
        <v>0.142578125</v>
      </c>
    </row>
    <row r="74" spans="1:12" ht="15.75" thickBot="1" x14ac:dyDescent="0.3">
      <c r="A74" s="26"/>
      <c r="B74" s="26"/>
      <c r="C74" s="26"/>
      <c r="D74" s="26"/>
      <c r="E74" s="94"/>
      <c r="F74" s="87" t="s">
        <v>13</v>
      </c>
      <c r="G74" s="88"/>
      <c r="H74" s="88"/>
      <c r="I74" s="89"/>
      <c r="J74" s="86"/>
      <c r="K74" s="86"/>
    </row>
    <row r="75" spans="1:12" x14ac:dyDescent="0.25">
      <c r="A75" s="26"/>
      <c r="B75" s="26"/>
      <c r="C75" s="26"/>
      <c r="D75" s="26"/>
      <c r="E75" s="93" t="s">
        <v>142</v>
      </c>
      <c r="F75" s="90" t="s">
        <v>10</v>
      </c>
      <c r="G75" s="91"/>
      <c r="H75" s="91"/>
      <c r="I75" s="92"/>
      <c r="J75" s="95">
        <f>+B14/B21</f>
        <v>0.90640658554044384</v>
      </c>
      <c r="K75" s="95">
        <f>+C14/C21</f>
        <v>0.81460761460761466</v>
      </c>
    </row>
    <row r="76" spans="1:12" ht="15.75" thickBot="1" x14ac:dyDescent="0.3">
      <c r="A76" s="26"/>
      <c r="B76" s="26"/>
      <c r="C76" s="26"/>
      <c r="D76" s="26"/>
      <c r="E76" s="94"/>
      <c r="F76" s="87" t="s">
        <v>140</v>
      </c>
      <c r="G76" s="88"/>
      <c r="H76" s="88"/>
      <c r="I76" s="89"/>
      <c r="J76" s="86"/>
      <c r="K76" s="86"/>
    </row>
    <row r="77" spans="1:12" x14ac:dyDescent="0.25">
      <c r="A77" s="26"/>
      <c r="B77" s="26"/>
      <c r="C77" s="26"/>
      <c r="D77" s="26"/>
      <c r="E77" s="26"/>
      <c r="F77" s="45"/>
      <c r="G77" s="45"/>
      <c r="H77" s="45"/>
      <c r="I77" s="45"/>
      <c r="J77" s="26"/>
      <c r="K77" s="26"/>
      <c r="L77" s="26"/>
    </row>
    <row r="78" spans="1:12" ht="15.75" thickBot="1" x14ac:dyDescent="0.3">
      <c r="A78" s="26"/>
      <c r="B78" s="26"/>
      <c r="C78" s="26"/>
      <c r="D78" s="26"/>
      <c r="E78" s="25" t="s">
        <v>143</v>
      </c>
      <c r="F78" s="25"/>
      <c r="G78" s="25"/>
      <c r="H78" s="25"/>
      <c r="I78" s="25"/>
      <c r="J78" s="25"/>
      <c r="K78" s="25"/>
      <c r="L78" s="26"/>
    </row>
    <row r="79" spans="1:12" ht="15.75" thickBot="1" x14ac:dyDescent="0.3">
      <c r="A79" s="26"/>
      <c r="B79" s="26"/>
      <c r="C79" s="26"/>
      <c r="D79" s="26"/>
      <c r="E79" s="4" t="s">
        <v>71</v>
      </c>
      <c r="F79" s="109" t="s">
        <v>72</v>
      </c>
      <c r="G79" s="110"/>
      <c r="H79" s="110"/>
      <c r="I79" s="111"/>
      <c r="J79" s="5" t="s">
        <v>60</v>
      </c>
      <c r="K79" s="5" t="s">
        <v>61</v>
      </c>
    </row>
    <row r="80" spans="1:12" x14ac:dyDescent="0.25">
      <c r="A80" s="26"/>
      <c r="B80" s="26"/>
      <c r="C80" s="26"/>
      <c r="D80" s="26"/>
      <c r="E80" s="93" t="s">
        <v>144</v>
      </c>
      <c r="F80" s="39" t="s">
        <v>38</v>
      </c>
      <c r="G80" s="127" t="s">
        <v>145</v>
      </c>
      <c r="H80" s="40" t="s">
        <v>146</v>
      </c>
      <c r="I80" s="129" t="s">
        <v>147</v>
      </c>
      <c r="J80" s="139">
        <f>+B42/B14*(1-$G82)</f>
        <v>1.6900296150049357E-2</v>
      </c>
      <c r="K80" s="139">
        <f>+C42/C14*(1-$G82)</f>
        <v>2.7012590614269361E-2</v>
      </c>
    </row>
    <row r="81" spans="1:11" ht="15.75" thickBot="1" x14ac:dyDescent="0.3">
      <c r="A81" s="26"/>
      <c r="B81" s="26"/>
      <c r="C81" s="26"/>
      <c r="D81" s="26"/>
      <c r="E81" s="94"/>
      <c r="F81" s="48" t="s">
        <v>152</v>
      </c>
      <c r="G81" s="128"/>
      <c r="H81" s="38" t="s">
        <v>38</v>
      </c>
      <c r="I81" s="130"/>
      <c r="J81" s="140"/>
      <c r="K81" s="140"/>
    </row>
    <row r="82" spans="1:11" x14ac:dyDescent="0.25">
      <c r="A82" s="26"/>
      <c r="B82" s="26"/>
      <c r="C82" s="26"/>
      <c r="D82" s="26"/>
      <c r="E82" s="27" t="s">
        <v>157</v>
      </c>
      <c r="F82" s="26"/>
      <c r="G82" s="50">
        <v>0.2</v>
      </c>
      <c r="H82" s="26"/>
      <c r="I82" s="26"/>
      <c r="J82" s="26"/>
      <c r="K82" s="26"/>
    </row>
  </sheetData>
  <mergeCells count="120">
    <mergeCell ref="E7:E8"/>
    <mergeCell ref="J7:J8"/>
    <mergeCell ref="K7:K8"/>
    <mergeCell ref="E9:E10"/>
    <mergeCell ref="J9:J10"/>
    <mergeCell ref="K9:K10"/>
    <mergeCell ref="I16:J17"/>
    <mergeCell ref="F16:H16"/>
    <mergeCell ref="F17:H17"/>
    <mergeCell ref="E31:E32"/>
    <mergeCell ref="K31:K32"/>
    <mergeCell ref="F11:I11"/>
    <mergeCell ref="F12:I12"/>
    <mergeCell ref="E20:E21"/>
    <mergeCell ref="K20:K21"/>
    <mergeCell ref="K16:K17"/>
    <mergeCell ref="E18:E19"/>
    <mergeCell ref="K18:K19"/>
    <mergeCell ref="E11:E12"/>
    <mergeCell ref="J11:J12"/>
    <mergeCell ref="K11:K12"/>
    <mergeCell ref="E16:E17"/>
    <mergeCell ref="I18:J19"/>
    <mergeCell ref="F18:H18"/>
    <mergeCell ref="F19:H19"/>
    <mergeCell ref="E26:E27"/>
    <mergeCell ref="F26:J27"/>
    <mergeCell ref="K26:K27"/>
    <mergeCell ref="I20:J21"/>
    <mergeCell ref="E44:E45"/>
    <mergeCell ref="J44:J45"/>
    <mergeCell ref="K44:K45"/>
    <mergeCell ref="E54:E55"/>
    <mergeCell ref="J54:J55"/>
    <mergeCell ref="K54:K55"/>
    <mergeCell ref="F55:I55"/>
    <mergeCell ref="E33:E34"/>
    <mergeCell ref="K33:K34"/>
    <mergeCell ref="E39:E40"/>
    <mergeCell ref="J39:J40"/>
    <mergeCell ref="K39:K40"/>
    <mergeCell ref="F34:J34"/>
    <mergeCell ref="F37:I37"/>
    <mergeCell ref="F38:I38"/>
    <mergeCell ref="F39:I39"/>
    <mergeCell ref="F40:I40"/>
    <mergeCell ref="F43:I43"/>
    <mergeCell ref="F44:I44"/>
    <mergeCell ref="F45:I45"/>
    <mergeCell ref="F54:I54"/>
    <mergeCell ref="E46:E47"/>
    <mergeCell ref="J46:J47"/>
    <mergeCell ref="K46:K47"/>
    <mergeCell ref="E48:E49"/>
    <mergeCell ref="J48:J49"/>
    <mergeCell ref="K48:K49"/>
    <mergeCell ref="F46:I46"/>
    <mergeCell ref="F47:I47"/>
    <mergeCell ref="F48:I48"/>
    <mergeCell ref="F49:I49"/>
    <mergeCell ref="E50:E51"/>
    <mergeCell ref="J50:J51"/>
    <mergeCell ref="K50:K51"/>
    <mergeCell ref="E52:E53"/>
    <mergeCell ref="J52:J53"/>
    <mergeCell ref="K52:K53"/>
    <mergeCell ref="F50:I50"/>
    <mergeCell ref="F51:I51"/>
    <mergeCell ref="F52:I52"/>
    <mergeCell ref="F53:I53"/>
    <mergeCell ref="E80:E81"/>
    <mergeCell ref="G80:G81"/>
    <mergeCell ref="I80:I81"/>
    <mergeCell ref="F72:I72"/>
    <mergeCell ref="F73:I73"/>
    <mergeCell ref="E71:E72"/>
    <mergeCell ref="E73:E74"/>
    <mergeCell ref="F74:I74"/>
    <mergeCell ref="E56:E57"/>
    <mergeCell ref="F56:I56"/>
    <mergeCell ref="F57:I57"/>
    <mergeCell ref="F69:I69"/>
    <mergeCell ref="F70:I70"/>
    <mergeCell ref="F71:I71"/>
    <mergeCell ref="J80:J81"/>
    <mergeCell ref="K80:K81"/>
    <mergeCell ref="K56:K57"/>
    <mergeCell ref="F2:I2"/>
    <mergeCell ref="F3:I3"/>
    <mergeCell ref="F6:I6"/>
    <mergeCell ref="F7:I7"/>
    <mergeCell ref="F8:I8"/>
    <mergeCell ref="F9:I9"/>
    <mergeCell ref="F10:I10"/>
    <mergeCell ref="F79:I79"/>
    <mergeCell ref="J56:J57"/>
    <mergeCell ref="F20:H20"/>
    <mergeCell ref="F21:H21"/>
    <mergeCell ref="F25:J25"/>
    <mergeCell ref="F30:J30"/>
    <mergeCell ref="F31:J31"/>
    <mergeCell ref="F32:J32"/>
    <mergeCell ref="F33:J33"/>
    <mergeCell ref="F15:J15"/>
    <mergeCell ref="F24:J24"/>
    <mergeCell ref="F60:I60"/>
    <mergeCell ref="F61:I61"/>
    <mergeCell ref="F68:I68"/>
    <mergeCell ref="K69:K70"/>
    <mergeCell ref="F76:I76"/>
    <mergeCell ref="F75:I75"/>
    <mergeCell ref="E69:E70"/>
    <mergeCell ref="K75:K76"/>
    <mergeCell ref="J75:J76"/>
    <mergeCell ref="J73:J74"/>
    <mergeCell ref="K73:K74"/>
    <mergeCell ref="K71:K72"/>
    <mergeCell ref="J71:J72"/>
    <mergeCell ref="J69:J70"/>
    <mergeCell ref="E75:E76"/>
  </mergeCells>
  <printOptions horizontalCentered="1"/>
  <pageMargins left="0.31496062992125984" right="0.31496062992125984" top="0.35433070866141736" bottom="0.35433070866141736" header="0.31496062992125984" footer="0.31496062992125984"/>
  <pageSetup scale="69" fitToHeight="2" orientation="landscape" verticalDpi="1200" r:id="rId1"/>
  <rowBreaks count="1" manualBreakCount="1">
    <brk id="5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38A1E-6AE7-4C9E-9138-679443B272A4}">
  <sheetPr>
    <pageSetUpPr fitToPage="1"/>
  </sheetPr>
  <dimension ref="A1:M5"/>
  <sheetViews>
    <sheetView zoomScale="140" zoomScaleNormal="140" workbookViewId="0"/>
  </sheetViews>
  <sheetFormatPr defaultColWidth="0" defaultRowHeight="15" zeroHeight="1" x14ac:dyDescent="0.25"/>
  <cols>
    <col min="1" max="1" width="18.5703125" style="26" customWidth="1"/>
    <col min="2" max="7" width="12.5703125" style="26" customWidth="1"/>
    <col min="8" max="8" width="9.140625" style="26" customWidth="1"/>
    <col min="9" max="9" width="23.140625" style="26" customWidth="1"/>
    <col min="10" max="10" width="6.85546875" style="26" customWidth="1"/>
    <col min="11" max="11" width="35.28515625" style="26" customWidth="1"/>
    <col min="12" max="12" width="12.5703125" style="26" customWidth="1"/>
    <col min="13" max="13" width="0.140625" customWidth="1"/>
    <col min="14" max="16384" width="9.140625" hidden="1"/>
  </cols>
  <sheetData>
    <row r="1" spans="1:12" ht="15.75" thickBot="1" x14ac:dyDescent="0.3">
      <c r="A1" s="25" t="s">
        <v>100</v>
      </c>
      <c r="B1" s="25"/>
      <c r="C1" s="25"/>
      <c r="D1" s="25"/>
      <c r="E1" s="25"/>
      <c r="F1" s="25"/>
      <c r="G1" s="25"/>
      <c r="I1" s="25" t="s">
        <v>108</v>
      </c>
      <c r="J1" s="25"/>
      <c r="K1" s="25"/>
      <c r="L1" s="25"/>
    </row>
    <row r="2" spans="1:12" ht="15.75" thickBot="1" x14ac:dyDescent="0.3">
      <c r="A2" s="168" t="s">
        <v>71</v>
      </c>
      <c r="B2" s="5" t="s">
        <v>101</v>
      </c>
      <c r="C2" s="109" t="s">
        <v>102</v>
      </c>
      <c r="D2" s="110"/>
      <c r="E2" s="110"/>
      <c r="F2" s="110"/>
      <c r="G2" s="111"/>
      <c r="I2" s="4" t="s">
        <v>71</v>
      </c>
      <c r="J2" s="109" t="s">
        <v>72</v>
      </c>
      <c r="K2" s="111"/>
      <c r="L2" s="5" t="s">
        <v>61</v>
      </c>
    </row>
    <row r="3" spans="1:12" ht="15.75" thickBot="1" x14ac:dyDescent="0.3">
      <c r="A3" s="169"/>
      <c r="B3" s="19" t="s">
        <v>61</v>
      </c>
      <c r="C3" s="19" t="s">
        <v>103</v>
      </c>
      <c r="D3" s="19" t="s">
        <v>104</v>
      </c>
      <c r="E3" s="19" t="s">
        <v>105</v>
      </c>
      <c r="F3" s="19" t="s">
        <v>106</v>
      </c>
      <c r="G3" s="19" t="s">
        <v>107</v>
      </c>
      <c r="I3" s="93" t="s">
        <v>109</v>
      </c>
      <c r="J3" s="22"/>
      <c r="K3" s="68" t="s">
        <v>110</v>
      </c>
      <c r="L3" s="166">
        <f>+B4+NPV(K5,C4:G4)</f>
        <v>957561.07226535259</v>
      </c>
    </row>
    <row r="4" spans="1:12" ht="16.5" thickBot="1" x14ac:dyDescent="0.3">
      <c r="A4" s="8" t="s">
        <v>46</v>
      </c>
      <c r="B4" s="15">
        <v>16000</v>
      </c>
      <c r="C4" s="15">
        <v>20800</v>
      </c>
      <c r="D4" s="15">
        <v>35152</v>
      </c>
      <c r="E4" s="15">
        <v>77229</v>
      </c>
      <c r="F4" s="15">
        <v>220574</v>
      </c>
      <c r="G4" s="15">
        <v>818974</v>
      </c>
      <c r="I4" s="94"/>
      <c r="J4" s="23"/>
      <c r="K4" s="24" t="s">
        <v>111</v>
      </c>
      <c r="L4" s="167"/>
    </row>
    <row r="5" spans="1:12" x14ac:dyDescent="0.25">
      <c r="I5" s="27" t="s">
        <v>166</v>
      </c>
      <c r="J5" s="28"/>
      <c r="K5" s="29">
        <v>0.05</v>
      </c>
      <c r="L5" s="30"/>
    </row>
  </sheetData>
  <mergeCells count="5">
    <mergeCell ref="L3:L4"/>
    <mergeCell ref="A2:A3"/>
    <mergeCell ref="C2:G2"/>
    <mergeCell ref="I3:I4"/>
    <mergeCell ref="J2:K2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7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4718F-23A7-4949-8390-D7C8BB9E2F39}">
  <sheetPr>
    <pageSetUpPr fitToPage="1"/>
  </sheetPr>
  <dimension ref="A1:O28"/>
  <sheetViews>
    <sheetView zoomScale="140" zoomScaleNormal="140" workbookViewId="0"/>
  </sheetViews>
  <sheetFormatPr defaultColWidth="0" defaultRowHeight="15" zeroHeight="1" x14ac:dyDescent="0.25"/>
  <cols>
    <col min="1" max="1" width="27.5703125" customWidth="1"/>
    <col min="2" max="7" width="10.5703125" customWidth="1"/>
    <col min="8" max="8" width="7.140625" customWidth="1"/>
    <col min="9" max="9" width="27.85546875" customWidth="1"/>
    <col min="10" max="10" width="8.5703125" customWidth="1"/>
    <col min="11" max="11" width="34" customWidth="1"/>
    <col min="12" max="12" width="2.7109375" customWidth="1"/>
    <col min="13" max="13" width="5.42578125" customWidth="1"/>
    <col min="14" max="14" width="12.5703125" customWidth="1"/>
    <col min="15" max="15" width="0.140625" customWidth="1"/>
    <col min="16" max="16384" width="9.140625" hidden="1"/>
  </cols>
  <sheetData>
    <row r="1" spans="1:14" ht="15.75" thickBot="1" x14ac:dyDescent="0.3">
      <c r="A1" s="25" t="s">
        <v>112</v>
      </c>
      <c r="B1" s="25"/>
      <c r="C1" s="26"/>
      <c r="D1" s="26"/>
      <c r="E1" s="26"/>
      <c r="F1" s="26"/>
      <c r="G1" s="26"/>
      <c r="H1" s="26"/>
      <c r="I1" s="25" t="s">
        <v>128</v>
      </c>
      <c r="J1" s="42"/>
      <c r="K1" s="42"/>
      <c r="L1" s="42"/>
      <c r="M1" s="42"/>
      <c r="N1" s="42"/>
    </row>
    <row r="2" spans="1:14" ht="15.75" thickBot="1" x14ac:dyDescent="0.3">
      <c r="A2" s="4" t="s">
        <v>46</v>
      </c>
      <c r="B2" s="171" t="s">
        <v>59</v>
      </c>
      <c r="C2" s="172"/>
      <c r="D2" s="172"/>
      <c r="E2" s="172"/>
      <c r="F2" s="172"/>
      <c r="G2" s="172"/>
      <c r="H2" s="26"/>
      <c r="I2" s="20" t="s">
        <v>71</v>
      </c>
      <c r="J2" s="96" t="s">
        <v>72</v>
      </c>
      <c r="K2" s="96"/>
      <c r="L2" s="96"/>
      <c r="M2" s="96"/>
      <c r="N2" s="83" t="s">
        <v>61</v>
      </c>
    </row>
    <row r="3" spans="1:14" ht="15.75" thickBot="1" x14ac:dyDescent="0.3">
      <c r="A3" s="31" t="s">
        <v>46</v>
      </c>
      <c r="B3" s="173" t="s">
        <v>114</v>
      </c>
      <c r="C3" s="174"/>
      <c r="D3" s="174"/>
      <c r="E3" s="174"/>
      <c r="F3" s="174"/>
      <c r="G3" s="175"/>
      <c r="H3" s="26"/>
      <c r="I3" s="93" t="s">
        <v>109</v>
      </c>
      <c r="J3" s="80"/>
      <c r="K3" s="81" t="s">
        <v>129</v>
      </c>
      <c r="L3" s="82"/>
      <c r="M3" s="82"/>
      <c r="N3" s="193">
        <f>+B23+NPV(K19,C23:G23)</f>
        <v>240092.7032549273</v>
      </c>
    </row>
    <row r="4" spans="1:14" ht="16.5" thickBot="1" x14ac:dyDescent="0.3">
      <c r="A4" s="31" t="s">
        <v>47</v>
      </c>
      <c r="B4" s="176" t="s">
        <v>115</v>
      </c>
      <c r="C4" s="177"/>
      <c r="D4" s="177"/>
      <c r="E4" s="177"/>
      <c r="F4" s="177"/>
      <c r="G4" s="178"/>
      <c r="H4" s="26"/>
      <c r="I4" s="94"/>
      <c r="J4" s="74"/>
      <c r="K4" s="74" t="s">
        <v>111</v>
      </c>
      <c r="L4" s="75"/>
      <c r="M4" s="75"/>
      <c r="N4" s="194"/>
    </row>
    <row r="5" spans="1:14" ht="15.75" thickBot="1" x14ac:dyDescent="0.3">
      <c r="A5" s="21" t="s">
        <v>113</v>
      </c>
      <c r="B5" s="179" t="s">
        <v>116</v>
      </c>
      <c r="C5" s="180"/>
      <c r="D5" s="180"/>
      <c r="E5" s="180"/>
      <c r="F5" s="180"/>
      <c r="G5" s="181"/>
      <c r="H5" s="26"/>
      <c r="I5" s="93" t="s">
        <v>130</v>
      </c>
      <c r="J5" s="52"/>
      <c r="K5" s="53" t="s">
        <v>163</v>
      </c>
      <c r="L5" s="54"/>
      <c r="M5" s="61"/>
      <c r="N5" s="95">
        <f>+(B18+NPV(K19,C18:G18))/-(B22+NPV(K19,C22:G22))</f>
        <v>1.6811732508272141</v>
      </c>
    </row>
    <row r="6" spans="1:14" ht="16.5" thickBot="1" x14ac:dyDescent="0.3">
      <c r="A6" s="31" t="s">
        <v>46</v>
      </c>
      <c r="B6" s="173" t="s">
        <v>118</v>
      </c>
      <c r="C6" s="174"/>
      <c r="D6" s="174"/>
      <c r="E6" s="174"/>
      <c r="F6" s="174"/>
      <c r="G6" s="175"/>
      <c r="H6" s="26"/>
      <c r="I6" s="185"/>
      <c r="J6" s="55"/>
      <c r="K6" s="56" t="s">
        <v>111</v>
      </c>
      <c r="L6" s="57"/>
      <c r="M6" s="62"/>
      <c r="N6" s="191"/>
    </row>
    <row r="7" spans="1:14" ht="15.75" thickBot="1" x14ac:dyDescent="0.3">
      <c r="A7" s="31" t="s">
        <v>117</v>
      </c>
      <c r="B7" s="176" t="s">
        <v>119</v>
      </c>
      <c r="C7" s="177"/>
      <c r="D7" s="177"/>
      <c r="E7" s="177"/>
      <c r="F7" s="177"/>
      <c r="G7" s="178"/>
      <c r="H7" s="26"/>
      <c r="I7" s="185"/>
      <c r="J7" s="58"/>
      <c r="K7" s="59" t="s">
        <v>131</v>
      </c>
      <c r="L7" s="60"/>
      <c r="M7" s="63"/>
      <c r="N7" s="191"/>
    </row>
    <row r="8" spans="1:14" ht="16.5" thickBot="1" x14ac:dyDescent="0.3">
      <c r="A8" s="21" t="s">
        <v>113</v>
      </c>
      <c r="B8" s="182" t="s">
        <v>120</v>
      </c>
      <c r="C8" s="183"/>
      <c r="D8" s="183"/>
      <c r="E8" s="183"/>
      <c r="F8" s="183"/>
      <c r="G8" s="184"/>
      <c r="H8" s="26"/>
      <c r="I8" s="94"/>
      <c r="J8" s="64"/>
      <c r="K8" s="65" t="s">
        <v>111</v>
      </c>
      <c r="L8" s="66"/>
      <c r="M8" s="67"/>
      <c r="N8" s="192"/>
    </row>
    <row r="9" spans="1:14" x14ac:dyDescent="0.25">
      <c r="A9" s="26"/>
      <c r="B9" s="26"/>
      <c r="C9" s="26"/>
      <c r="D9" s="26"/>
      <c r="E9" s="26"/>
      <c r="F9" s="26"/>
      <c r="G9" s="26"/>
      <c r="H9" s="26"/>
      <c r="I9" s="131" t="s">
        <v>158</v>
      </c>
      <c r="J9" s="70"/>
      <c r="K9" s="59" t="s">
        <v>165</v>
      </c>
      <c r="L9" s="195" t="s">
        <v>159</v>
      </c>
      <c r="M9" s="71">
        <v>1</v>
      </c>
      <c r="N9" s="188">
        <f>-((B14+NPV(K19,C14:G14)+(B16+NPV(K19,C16:G16))-(B17+NPV(K19,C17:G17)))*(1/COUNT(C14:G14)))/(1+(B13+NPV(K19,C13:G13))/(B12+NPV(K19,C12:G12)))</f>
        <v>216334.08578811123</v>
      </c>
    </row>
    <row r="10" spans="1:14" ht="16.5" thickBot="1" x14ac:dyDescent="0.3">
      <c r="A10" s="170" t="s">
        <v>121</v>
      </c>
      <c r="B10" s="170"/>
      <c r="C10" s="170"/>
      <c r="D10" s="170"/>
      <c r="E10" s="170"/>
      <c r="F10" s="170"/>
      <c r="G10" s="170"/>
      <c r="H10" s="26"/>
      <c r="I10" s="185"/>
      <c r="J10" s="72"/>
      <c r="K10" s="56" t="s">
        <v>111</v>
      </c>
      <c r="L10" s="196"/>
      <c r="M10" s="73" t="s">
        <v>160</v>
      </c>
      <c r="N10" s="189"/>
    </row>
    <row r="11" spans="1:14" ht="15.75" thickBot="1" x14ac:dyDescent="0.3">
      <c r="A11" s="1" t="s">
        <v>71</v>
      </c>
      <c r="B11" s="2" t="s">
        <v>61</v>
      </c>
      <c r="C11" s="2" t="s">
        <v>103</v>
      </c>
      <c r="D11" s="2" t="s">
        <v>104</v>
      </c>
      <c r="E11" s="2" t="s">
        <v>105</v>
      </c>
      <c r="F11" s="2" t="s">
        <v>106</v>
      </c>
      <c r="G11" s="2" t="s">
        <v>107</v>
      </c>
      <c r="H11" s="26"/>
      <c r="I11" s="185"/>
      <c r="J11" s="197" t="s">
        <v>164</v>
      </c>
      <c r="K11" s="59" t="s">
        <v>132</v>
      </c>
      <c r="L11" s="60"/>
      <c r="M11" s="63"/>
      <c r="N11" s="189"/>
    </row>
    <row r="12" spans="1:14" ht="16.5" thickBot="1" x14ac:dyDescent="0.3">
      <c r="A12" s="3" t="s">
        <v>56</v>
      </c>
      <c r="B12" s="33"/>
      <c r="C12" s="33">
        <v>260000</v>
      </c>
      <c r="D12" s="33">
        <v>540000</v>
      </c>
      <c r="E12" s="33">
        <v>805000</v>
      </c>
      <c r="F12" s="33">
        <v>920000</v>
      </c>
      <c r="G12" s="33">
        <v>985000</v>
      </c>
      <c r="H12" s="26"/>
      <c r="I12" s="185"/>
      <c r="J12" s="198"/>
      <c r="K12" s="56" t="s">
        <v>111</v>
      </c>
      <c r="L12" s="57"/>
      <c r="M12" s="62"/>
      <c r="N12" s="189"/>
    </row>
    <row r="13" spans="1:14" ht="15.75" thickBot="1" x14ac:dyDescent="0.3">
      <c r="A13" s="3" t="s">
        <v>122</v>
      </c>
      <c r="B13" s="33"/>
      <c r="C13" s="33">
        <f>-C12*0.56215</f>
        <v>-146159</v>
      </c>
      <c r="D13" s="33">
        <f t="shared" ref="D13:G13" si="0">-D12*0.56215</f>
        <v>-303561</v>
      </c>
      <c r="E13" s="33">
        <f t="shared" si="0"/>
        <v>-452530.75000000006</v>
      </c>
      <c r="F13" s="33">
        <f t="shared" si="0"/>
        <v>-517178.00000000006</v>
      </c>
      <c r="G13" s="33">
        <f t="shared" si="0"/>
        <v>-553717.75</v>
      </c>
      <c r="H13" s="26"/>
      <c r="I13" s="185"/>
      <c r="J13" s="198"/>
      <c r="K13" s="59" t="s">
        <v>133</v>
      </c>
      <c r="L13" s="60"/>
      <c r="M13" s="63"/>
      <c r="N13" s="189"/>
    </row>
    <row r="14" spans="1:14" ht="16.5" thickBot="1" x14ac:dyDescent="0.3">
      <c r="A14" s="32" t="s">
        <v>123</v>
      </c>
      <c r="B14" s="34"/>
      <c r="C14" s="34">
        <v>-140000</v>
      </c>
      <c r="D14" s="34">
        <v>-140000</v>
      </c>
      <c r="E14" s="34">
        <v>-160000</v>
      </c>
      <c r="F14" s="34">
        <v>-160000</v>
      </c>
      <c r="G14" s="34">
        <v>-160000</v>
      </c>
      <c r="H14" s="26"/>
      <c r="I14" s="94"/>
      <c r="J14" s="199"/>
      <c r="K14" s="74" t="s">
        <v>111</v>
      </c>
      <c r="L14" s="75"/>
      <c r="M14" s="69"/>
      <c r="N14" s="190"/>
    </row>
    <row r="15" spans="1:14" ht="15.75" thickBot="1" x14ac:dyDescent="0.3">
      <c r="A15" s="16" t="s">
        <v>38</v>
      </c>
      <c r="B15" s="33"/>
      <c r="C15" s="33">
        <f>SUM(C12:C14)-C17+IF((SUM(C12:C14)-C17)&lt;0,0,-(SUM(C12:C14)-C17)*(1-0.685))</f>
        <v>-35279</v>
      </c>
      <c r="D15" s="33">
        <f t="shared" ref="D15:G15" si="1">SUM(D12:D14)-D17+IF((SUM(D12:D14)-D17)&lt;0,0,-(SUM(D12:D14)-D17)*(1-0.685))</f>
        <v>60438.235000000001</v>
      </c>
      <c r="E15" s="33">
        <f t="shared" si="1"/>
        <v>124808.54124999998</v>
      </c>
      <c r="F15" s="33">
        <f t="shared" si="1"/>
        <v>160003.66999999998</v>
      </c>
      <c r="G15" s="33">
        <f t="shared" si="1"/>
        <v>180131.88125000003</v>
      </c>
      <c r="H15" s="26"/>
      <c r="I15" s="93" t="s">
        <v>134</v>
      </c>
      <c r="J15" s="76"/>
      <c r="K15" s="77" t="s">
        <v>161</v>
      </c>
      <c r="L15" s="200" t="s">
        <v>135</v>
      </c>
      <c r="M15" s="201"/>
      <c r="N15" s="186">
        <f>+IRR(B23:G23,K19)</f>
        <v>0.19050816443955587</v>
      </c>
    </row>
    <row r="16" spans="1:14" ht="16.5" thickBot="1" x14ac:dyDescent="0.3">
      <c r="A16" s="37" t="s">
        <v>48</v>
      </c>
      <c r="B16" s="33"/>
      <c r="C16" s="33">
        <f>-$B19*C24</f>
        <v>38000</v>
      </c>
      <c r="D16" s="33">
        <f>-$B19*C24</f>
        <v>38000</v>
      </c>
      <c r="E16" s="33">
        <f>-$B19*C24-$D19*C24</f>
        <v>50000</v>
      </c>
      <c r="F16" s="33">
        <f>-$B19*C24-$D19*C24</f>
        <v>50000</v>
      </c>
      <c r="G16" s="33">
        <f>-$B19*C24-$D19*C24</f>
        <v>50000</v>
      </c>
      <c r="H16" s="26"/>
      <c r="I16" s="94"/>
      <c r="J16" s="78"/>
      <c r="K16" s="79" t="s">
        <v>162</v>
      </c>
      <c r="L16" s="202"/>
      <c r="M16" s="203"/>
      <c r="N16" s="187"/>
    </row>
    <row r="17" spans="1:14" ht="15.75" thickBot="1" x14ac:dyDescent="0.3">
      <c r="A17" s="3" t="s">
        <v>49</v>
      </c>
      <c r="B17" s="35"/>
      <c r="C17" s="35">
        <f>-INT(B19*C25*C27+0.05)</f>
        <v>9120</v>
      </c>
      <c r="D17" s="35">
        <f>INT(+C17*(1-C26)+0.05)</f>
        <v>8208</v>
      </c>
      <c r="E17" s="35">
        <f>+INT(D17*(1-C26)-D19*C25*C27+0.5)</f>
        <v>10267</v>
      </c>
      <c r="F17" s="35">
        <f>INT(+E17*(1-C26)+0.05)</f>
        <v>9240</v>
      </c>
      <c r="G17" s="35">
        <f>INT(+F17*(1-C26)+0.05)</f>
        <v>8316</v>
      </c>
      <c r="H17" s="26"/>
      <c r="I17" s="93" t="s">
        <v>137</v>
      </c>
      <c r="J17" s="52"/>
      <c r="K17" s="53" t="s">
        <v>136</v>
      </c>
      <c r="L17" s="204" t="s">
        <v>135</v>
      </c>
      <c r="M17" s="201"/>
      <c r="N17" s="95" t="str">
        <f>INT(IF((B23+NPV(K19,C23))&gt;0,0-(B23)/((C23/(1+K19)^1)),IF((B23+NPV(K19,C23:D23))&gt;0,1-(B23+NPV(K19,C23:C23))/((D23/(1+K19)^2)),IF((B23+NPV(K19,C23:E23))&gt;0,2-(B23+NPV(K19,C23:D23))/((D23/(1+K19)^3)),IF((B23+NPV(K19,C23:F23))&gt;0,3-(B23+NPV(K19,C23:E23))/((F23/(1+K19)^4)),IF((B23+NPV(K19,C23:G23))&gt;0,4-(B23+NPV(K19,C23:F23))/((G23/(1+K19)^5)),0)))))*100)/100&amp;" anos"</f>
        <v>4.34 anos</v>
      </c>
    </row>
    <row r="18" spans="1:14" ht="16.5" thickBot="1" x14ac:dyDescent="0.3">
      <c r="A18" s="3" t="s">
        <v>50</v>
      </c>
      <c r="B18" s="36">
        <f>+SUM(B15:B17)</f>
        <v>0</v>
      </c>
      <c r="C18" s="36">
        <f t="shared" ref="C18" si="2">+SUM(C15:C17)</f>
        <v>11841</v>
      </c>
      <c r="D18" s="36">
        <f t="shared" ref="D18:G18" si="3">+SUM(D15:D17)</f>
        <v>106646.235</v>
      </c>
      <c r="E18" s="36">
        <f t="shared" si="3"/>
        <v>185075.54124999998</v>
      </c>
      <c r="F18" s="36">
        <f t="shared" si="3"/>
        <v>219243.66999999998</v>
      </c>
      <c r="G18" s="36">
        <f t="shared" si="3"/>
        <v>238447.88125000003</v>
      </c>
      <c r="H18" s="26"/>
      <c r="I18" s="94"/>
      <c r="J18" s="78"/>
      <c r="K18" s="74" t="s">
        <v>111</v>
      </c>
      <c r="L18" s="205"/>
      <c r="M18" s="203"/>
      <c r="N18" s="86"/>
    </row>
    <row r="19" spans="1:14" ht="15.75" thickBot="1" x14ac:dyDescent="0.3">
      <c r="A19" s="3" t="s">
        <v>51</v>
      </c>
      <c r="B19" s="33">
        <v>-380000</v>
      </c>
      <c r="C19" s="33"/>
      <c r="D19" s="33">
        <v>-120000</v>
      </c>
      <c r="E19" s="33"/>
      <c r="F19" s="33"/>
      <c r="G19" s="33"/>
      <c r="H19" s="26"/>
      <c r="I19" s="27" t="s">
        <v>138</v>
      </c>
      <c r="J19" s="27"/>
      <c r="K19" s="29">
        <v>7.0000000000000007E-2</v>
      </c>
      <c r="L19" s="26"/>
      <c r="M19" s="26"/>
      <c r="N19" s="26"/>
    </row>
    <row r="20" spans="1:14" ht="15.75" thickBot="1" x14ac:dyDescent="0.3">
      <c r="A20" s="3" t="s">
        <v>52</v>
      </c>
      <c r="B20" s="33"/>
      <c r="C20" s="33">
        <v>-40000</v>
      </c>
      <c r="D20" s="33">
        <v>-20000</v>
      </c>
      <c r="E20" s="33">
        <v>-10000</v>
      </c>
      <c r="F20" s="33"/>
      <c r="G20" s="33"/>
      <c r="H20" s="26"/>
      <c r="I20" s="26"/>
      <c r="J20" s="26"/>
      <c r="K20" s="26"/>
      <c r="L20" s="26"/>
      <c r="M20" s="26"/>
      <c r="N20" s="30"/>
    </row>
    <row r="21" spans="1:14" ht="15.75" thickBot="1" x14ac:dyDescent="0.3">
      <c r="A21" s="3" t="s">
        <v>53</v>
      </c>
      <c r="B21" s="35"/>
      <c r="C21" s="35"/>
      <c r="D21" s="35"/>
      <c r="E21" s="35"/>
      <c r="F21" s="35"/>
      <c r="G21" s="35">
        <f>(-B19-D19+B19*C24*5+D19*C24*3)</f>
        <v>274000</v>
      </c>
      <c r="H21" s="26"/>
      <c r="I21" s="26"/>
      <c r="J21" s="26"/>
      <c r="K21" s="26"/>
      <c r="L21" s="26"/>
      <c r="M21" s="30"/>
      <c r="N21" s="26"/>
    </row>
    <row r="22" spans="1:14" ht="15.75" thickBot="1" x14ac:dyDescent="0.3">
      <c r="A22" s="3" t="s">
        <v>54</v>
      </c>
      <c r="B22" s="36">
        <f>+SUM(B19:B21)</f>
        <v>-380000</v>
      </c>
      <c r="C22" s="36">
        <f t="shared" ref="C22:G22" si="4">+SUM(C19:C21)</f>
        <v>-40000</v>
      </c>
      <c r="D22" s="36">
        <f t="shared" si="4"/>
        <v>-140000</v>
      </c>
      <c r="E22" s="36">
        <f t="shared" si="4"/>
        <v>-10000</v>
      </c>
      <c r="F22" s="36">
        <f t="shared" si="4"/>
        <v>0</v>
      </c>
      <c r="G22" s="36">
        <f t="shared" si="4"/>
        <v>274000</v>
      </c>
      <c r="H22" s="26"/>
      <c r="I22" s="26"/>
      <c r="J22" s="26"/>
      <c r="K22" s="26"/>
      <c r="L22" s="26"/>
      <c r="M22" s="30"/>
      <c r="N22" s="26"/>
    </row>
    <row r="23" spans="1:14" ht="15.75" thickBot="1" x14ac:dyDescent="0.3">
      <c r="A23" s="3" t="s">
        <v>55</v>
      </c>
      <c r="B23" s="36">
        <f>+B22+B18</f>
        <v>-380000</v>
      </c>
      <c r="C23" s="36">
        <f t="shared" ref="C23:G23" si="5">+C22+C18</f>
        <v>-28159</v>
      </c>
      <c r="D23" s="36">
        <f t="shared" si="5"/>
        <v>-33353.764999999999</v>
      </c>
      <c r="E23" s="36">
        <f t="shared" si="5"/>
        <v>175075.54124999998</v>
      </c>
      <c r="F23" s="36">
        <f t="shared" si="5"/>
        <v>219243.66999999998</v>
      </c>
      <c r="G23" s="36">
        <f t="shared" si="5"/>
        <v>512447.88125000003</v>
      </c>
      <c r="H23" s="26"/>
      <c r="I23" s="26"/>
      <c r="J23" s="26"/>
      <c r="K23" s="26"/>
      <c r="L23" s="26"/>
      <c r="M23" s="30"/>
      <c r="N23" s="26"/>
    </row>
    <row r="24" spans="1:14" x14ac:dyDescent="0.25">
      <c r="A24" s="27" t="s">
        <v>124</v>
      </c>
      <c r="B24" s="26"/>
      <c r="C24" s="29">
        <v>0.1</v>
      </c>
      <c r="D24" s="26"/>
      <c r="E24" s="26"/>
      <c r="F24" s="26"/>
      <c r="G24" s="26"/>
      <c r="H24" s="26"/>
      <c r="I24" s="84"/>
      <c r="J24" s="84"/>
      <c r="K24" s="26"/>
      <c r="L24" s="26"/>
      <c r="M24" s="30"/>
      <c r="N24" s="26"/>
    </row>
    <row r="25" spans="1:14" x14ac:dyDescent="0.25">
      <c r="A25" s="27" t="s">
        <v>125</v>
      </c>
      <c r="B25" s="26"/>
      <c r="C25" s="29">
        <v>0.6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1:14" x14ac:dyDescent="0.25">
      <c r="A26" s="27" t="s">
        <v>126</v>
      </c>
      <c r="B26" s="26"/>
      <c r="C26" s="29">
        <v>0.1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</row>
    <row r="27" spans="1:14" x14ac:dyDescent="0.25">
      <c r="A27" s="27" t="s">
        <v>127</v>
      </c>
      <c r="B27" s="26"/>
      <c r="C27" s="29">
        <v>0.04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</row>
    <row r="28" spans="1:14" hidden="1" x14ac:dyDescent="0.25">
      <c r="A28" s="18"/>
    </row>
  </sheetData>
  <mergeCells count="23">
    <mergeCell ref="J2:M2"/>
    <mergeCell ref="L9:L10"/>
    <mergeCell ref="J11:J14"/>
    <mergeCell ref="L15:M16"/>
    <mergeCell ref="L17:M18"/>
    <mergeCell ref="N17:N18"/>
    <mergeCell ref="N15:N16"/>
    <mergeCell ref="N9:N14"/>
    <mergeCell ref="N5:N8"/>
    <mergeCell ref="N3:N4"/>
    <mergeCell ref="I3:I4"/>
    <mergeCell ref="I5:I8"/>
    <mergeCell ref="I9:I14"/>
    <mergeCell ref="I15:I16"/>
    <mergeCell ref="I17:I18"/>
    <mergeCell ref="A10:G10"/>
    <mergeCell ref="B2:G2"/>
    <mergeCell ref="B3:G3"/>
    <mergeCell ref="B4:G4"/>
    <mergeCell ref="B5:G5"/>
    <mergeCell ref="B6:G6"/>
    <mergeCell ref="B7:G7"/>
    <mergeCell ref="B8:G8"/>
  </mergeCells>
  <pageMargins left="0.31496062992125984" right="0.31496062992125984" top="0.35433070866141736" bottom="0.35433070866141736" header="0.31496062992125984" footer="0.31496062992125984"/>
  <pageSetup paperSize="9" scale="74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Tabelas 8.4-8.13 e 8.21-8.22</vt:lpstr>
      <vt:lpstr>Tabelas 8.14-8.15</vt:lpstr>
      <vt:lpstr>Tabelas 8.16-8.18</vt:lpstr>
      <vt:lpstr>'Tabelas 8.16-8.18'!_ednref1</vt:lpstr>
      <vt:lpstr>'Tabelas 8.16-8.18'!_ednref2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Gestão Moderna - Capítulo 8 - Finanças - Tabelas com Cálculos</dc:title>
  <dc:creator>Adriano Freire</dc:creator>
  <cp:lastModifiedBy>Adriano Freire</cp:lastModifiedBy>
  <cp:lastPrinted>2023-01-09T11:09:39Z</cp:lastPrinted>
  <dcterms:created xsi:type="dcterms:W3CDTF">2022-06-25T11:13:18Z</dcterms:created>
  <dcterms:modified xsi:type="dcterms:W3CDTF">2023-02-11T17:53:42Z</dcterms:modified>
</cp:coreProperties>
</file>